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87" firstSheet="24" activeTab="33"/>
  </bookViews>
  <sheets>
    <sheet name="łączna wartość brutto" sheetId="1" r:id="rId1"/>
    <sheet name="WKM parking" sheetId="2" r:id="rId2"/>
    <sheet name="WKM pow. wew." sheetId="3" r:id="rId3"/>
    <sheet name="WKM pow. zew.  " sheetId="4" r:id="rId4"/>
    <sheet name="WKM tereny zielone" sheetId="5" r:id="rId5"/>
    <sheet name="Marymont" sheetId="6" r:id="rId6"/>
    <sheet name="Marymont tereny zielone" sheetId="7" r:id="rId7"/>
    <sheet name="p. Marymont" sheetId="8" r:id="rId8"/>
    <sheet name="p.Marymont tereny zielone" sheetId="9" r:id="rId9"/>
    <sheet name="p. Esperanto" sheetId="10" r:id="rId10"/>
    <sheet name="p. Gdański" sheetId="11" r:id="rId11"/>
    <sheet name="Wilanowska" sheetId="12" r:id="rId12"/>
    <sheet name="Wilanowska tereny zielone" sheetId="13" r:id="rId13"/>
    <sheet name="Ursynów" sheetId="14" r:id="rId14"/>
    <sheet name="Ursynów tereny zielone" sheetId="15" r:id="rId15"/>
    <sheet name="Imielin" sheetId="16" r:id="rId16"/>
    <sheet name="Al. Krakowska" sheetId="17" r:id="rId17"/>
    <sheet name="Al. Krakowska tereny zielone" sheetId="18" r:id="rId18"/>
    <sheet name="Ursus" sheetId="19" r:id="rId19"/>
    <sheet name="Ursus tereny zielone" sheetId="20" r:id="rId20"/>
    <sheet name="Połczyńska" sheetId="21" r:id="rId21"/>
    <sheet name="Połczyńska tereny zielone" sheetId="22" r:id="rId22"/>
    <sheet name="Wawer" sheetId="23" r:id="rId23"/>
    <sheet name="Wawer tereny zielone" sheetId="24" r:id="rId24"/>
    <sheet name="Anin" sheetId="25" r:id="rId25"/>
    <sheet name="Anin tereny zielone" sheetId="26" r:id="rId26"/>
    <sheet name="p. Wschodni" sheetId="27" r:id="rId27"/>
    <sheet name="p.Wschodni tereny zielone" sheetId="28" r:id="rId28"/>
    <sheet name="Stokłosy" sheetId="29" r:id="rId29"/>
    <sheet name="Stokłosy tereny zielone" sheetId="30" r:id="rId30"/>
    <sheet name="Wawrzyszew" sheetId="31" r:id="rId31"/>
    <sheet name="Przejście Ursus" sheetId="32" r:id="rId32"/>
    <sheet name="przejście Ursus tereny zielone" sheetId="33" r:id="rId33"/>
    <sheet name="AK&quot;Kampinos&quot;" sheetId="34" r:id="rId34"/>
    <sheet name="Stadion Narodowy" sheetId="35" r:id="rId35"/>
  </sheets>
  <definedNames>
    <definedName name="Excel_BuiltIn_Print_Titles">#REF!</definedName>
    <definedName name="Excel_BuiltIn_Print_Titles_1">#REF!</definedName>
    <definedName name="OLE_LINK1_1">#REF!</definedName>
  </definedNames>
  <calcPr fullCalcOnLoad="1" fullPrecision="0"/>
</workbook>
</file>

<file path=xl/sharedStrings.xml><?xml version="1.0" encoding="utf-8"?>
<sst xmlns="http://schemas.openxmlformats.org/spreadsheetml/2006/main" count="1581" uniqueCount="257">
  <si>
    <t>Lp.</t>
  </si>
  <si>
    <t>Obiekt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</si>
  <si>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</si>
  <si>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</si>
  <si>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</si>
  <si>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</si>
  <si>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</si>
  <si>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</si>
  <si>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</si>
  <si>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</si>
  <si>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</si>
  <si>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</si>
  <si>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</si>
  <si>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</si>
  <si>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</si>
  <si>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</si>
  <si>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</si>
  <si>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</si>
  <si>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</si>
  <si>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łączna wartość brutto:</t>
  </si>
  <si>
    <t>WKM P+R Metro Młociny</t>
  </si>
  <si>
    <t>jm.</t>
  </si>
  <si>
    <t>Rodzaj pracy</t>
  </si>
  <si>
    <t>cena jm. netto</t>
  </si>
  <si>
    <t>powierzchnia</t>
  </si>
  <si>
    <t>ilość</t>
  </si>
  <si>
    <t>ryczałt</t>
  </si>
  <si>
    <t>średnia częstotliwość średniomiesięczna</t>
  </si>
  <si>
    <t>wartość netto</t>
  </si>
  <si>
    <t>VAT</t>
  </si>
  <si>
    <t>zł.</t>
  </si>
  <si>
    <r>
      <t>m</t>
    </r>
    <r>
      <rPr>
        <vertAlign val="superscript"/>
        <sz val="10"/>
        <rFont val="Times New Roman"/>
        <family val="1"/>
      </rPr>
      <t>2</t>
    </r>
  </si>
  <si>
    <t>szt.</t>
  </si>
  <si>
    <t>m-c</t>
  </si>
  <si>
    <t>średnia czynność/m-c</t>
  </si>
  <si>
    <t>%</t>
  </si>
  <si>
    <t>a)</t>
  </si>
  <si>
    <t>utrzymanie  czystości powierzchni parkingu, tj. powierzchni: wjazdów, wyjazdów, podjazdów, jezdni, ciągów pieszych, stanowisk parkingowych z dojazdami, klatek schodowych, korytarzy, słupów, ramp, ścian i elewacji;</t>
  </si>
  <si>
    <t>b)</t>
  </si>
  <si>
    <t xml:space="preserve">likwidacja gołoledzi na terenie parkingu, tj. powierzchni: wjazdów, wyjazdów, jezdni, ciągów pieszych, podjazdów oraz stanowisk parkingowych z dojazdami; </t>
  </si>
  <si>
    <t>c)</t>
  </si>
  <si>
    <t>odśnieżanie terenu parkingu, tj. powierzchni: wjazdów, wyjazdów, podjazdów, jezdni, ciągów pieszych, niezadaszonego poziomu +3, zadaszenia nad wejściami do klatek;</t>
  </si>
  <si>
    <t>d)</t>
  </si>
  <si>
    <t>oczyszczanie powierzchni dachów, zadaszeń budynku parkingu, rynien, rur spustowych, kratek kanalizacyjnych, ciągów kanalizacji deszczowej z liści, gałęzi, nasion drzew, mułu i innych zanieczyszczeń;</t>
  </si>
  <si>
    <t>e)</t>
  </si>
  <si>
    <t>mycie stanowisk parkingowych wraz z dojazdami;</t>
  </si>
  <si>
    <t>f)</t>
  </si>
  <si>
    <t>czyszczenie elementów wyposażenia parkingu;</t>
  </si>
  <si>
    <t>g)</t>
  </si>
  <si>
    <t>opróżnianie oraz wymianę worków plastikowych w koszach na śmieci;</t>
  </si>
  <si>
    <t>h)</t>
  </si>
  <si>
    <t>mycie koszy na śmieci</t>
  </si>
  <si>
    <t>i)</t>
  </si>
  <si>
    <t>likwidację wycieków pozostawionych przez pojazdy.</t>
  </si>
  <si>
    <t>x</t>
  </si>
  <si>
    <t>WKM powierzchnie wewn.</t>
  </si>
  <si>
    <t>sprzątanie i utrzymanie w ciągłej czystości hali dworca autobusowego;</t>
  </si>
  <si>
    <t>sprzątanie pomieszczeń biurowych, kas biletowych, pomieszczeń socjalnych i toalet pracowniczych;</t>
  </si>
  <si>
    <t>sprzątanie pomieszczeń wjazdu/wyjazdu;</t>
  </si>
  <si>
    <t>sprzątanie pomieszczeń technicznych;</t>
  </si>
  <si>
    <t>sprzątanie i utrzymanie w ciągłej czystości pomieszczeń toalet ogólnodostępnych;</t>
  </si>
  <si>
    <t>sprzątanie i utrzymanie w ciągłej czystości ciągów komunikacyjnych wraz ze schodami ruchomymi;</t>
  </si>
  <si>
    <t>sprzątanie i utrzymanie w ciągłej czystości wind osobowych.</t>
  </si>
  <si>
    <t>wartość miesięcznie</t>
  </si>
  <si>
    <t>WKM powierzchnie zewn.</t>
  </si>
  <si>
    <t>likwidacja gołoledzi na terenie pętli autobusowej, tramwajowej, ciągów pieszych, ścieżek rowerowych, dróg dojazdowych, wjazdów i wyjazdów;</t>
  </si>
  <si>
    <t>odśnieżanie ciągów pieszych, ścieżek rowerowych, wysepek dla pasażerów i dojść do przystanków, powierzchni pętli: autobusowej i tramwajowej;</t>
  </si>
  <si>
    <t>odśnieżanie zadaszeń nad pętlami, ciągami pieszymi, schodami ruchomymi i wejściami;</t>
  </si>
  <si>
    <t>odśnieżanie dachu budynku przesiadkowego;</t>
  </si>
  <si>
    <t>czyszczenie elementów wyposażenia pętli autobusowej, tramwajowej, ciągów pieszych;</t>
  </si>
  <si>
    <t>mycie zadaszeń pętli autobusowej, tramwajowej, ciągów pieszych;</t>
  </si>
  <si>
    <t xml:space="preserve">mycie elewacji budynku przesiadkowego; </t>
  </si>
  <si>
    <t>opróżnianie oraz wymiana worków plastikowych w koszach na śmieci;</t>
  </si>
  <si>
    <t>j)</t>
  </si>
  <si>
    <t>mycie koszy na śmieci;</t>
  </si>
  <si>
    <t>k)</t>
  </si>
  <si>
    <t>likwidacja wycieków pozostawionych przez pojazdy;</t>
  </si>
  <si>
    <t>l)</t>
  </si>
  <si>
    <t>oczyszczanie powierzchni dachów, zadaszeń, dachu budynku przesiadkowego rynien, rur spustowych, kratek kanalizacyjnych, kratek odwodnienia liniowego, ciągów kanalizacji  deszczowej z liści, gałęzi, mułu, nasion drzew i innych zanieczyszczeń;</t>
  </si>
  <si>
    <t>m)</t>
  </si>
  <si>
    <t>n)</t>
  </si>
  <si>
    <t>P+R Metro Marymont</t>
  </si>
  <si>
    <t xml:space="preserve"> a)</t>
  </si>
  <si>
    <t>utrzymanie w czystości powierzchni działki, na której znajduje się parking i parkingu, tj. powierzchni: posadzek, jezdni, chodników, trawników, stanowisk parkingowych z dojazdami, klatek schodowych, korytarzy, słupów, ramp, ścian, miejsca wyznaczonego na pojemnik na śmieci,elewacji i ogrodzenia;</t>
  </si>
  <si>
    <t>likwidacja gołoledzi na terenie działki, na której znajduje się parking i na terenie parkingu, tj. powierzchni: jezdni, chodników, stanowisk parkingowych z dojazdami oraz miejsc parkingowych zlokalizowanych przed budynkiem parkingu;</t>
  </si>
  <si>
    <t>odśnieżanie terenu działki, na której znajduje się parking oraz terenu parkingu, tj. powierzchni: jezdni, chodników stanowisk parkingowych z dojazdami oraz miejsc parkingowych zlokalizowanych przed budynkiem parkingu;</t>
  </si>
  <si>
    <t>odśnieżanie  dachów i zadaszeń budynku parkingowego oraz zadaszeń nad miejscami parkingowymi dla niepełnosprawnych;</t>
  </si>
  <si>
    <t>oczyszczanie powierzchni dachów, zadaszeń, rynien, rur spustowych, kratek kanalizacyjnych, kratek odwodnienia liniowego, ciągów kanalizacji deszczowej z liści, gałęzi, nasion drzew, mułu i innych zanieczyszczeń;</t>
  </si>
  <si>
    <t>sprzątanie pomieszczeń biurowych, socjalnych i toalety pracowniczej;</t>
  </si>
  <si>
    <t>sprzątanie i utrzymanie czystości pomieszczeń toalet ogólnodostępnych;</t>
  </si>
  <si>
    <t>pętla Metro Marymont</t>
  </si>
  <si>
    <t>utrzymanie w czystości pomieszczeń w budynku ekspedycji tj. biurowych, socjalnych i toalet pracowniczych;</t>
  </si>
  <si>
    <t>utrzymanie w czystości  powierzchni działki, na której znajduje się pętla autobusowa, tj. powierzchni: jezdni, chodników, trawników, przystanków, miejsc parkingowych, miejsca wyznaczonego na pojemnik na śmieci, elewacji budynku ekspedycji;</t>
  </si>
  <si>
    <t>likwidacja gołoledzi na terenie pętli autobusowej:  chodników, jezdni, przystanków, miejsc parkingowych;</t>
  </si>
  <si>
    <t>odśnieżanie  terenu pętli autobusowej: chodników, jezdni, przystanków, miejsc parkingowych;</t>
  </si>
  <si>
    <t>odśnieżanie dachu budynku ekspedycji i wiat przystankowych;</t>
  </si>
  <si>
    <t>czyszczenie elementów wyposażenia pętli;</t>
  </si>
  <si>
    <t>oczyszczanie powierzchni dachów, zadaszeń, rynien, rur spustowych, kratek kanalizacyjnych, ciągów kanalizacji deszczowej z liści, gałęzi, nasion drzew, mułu i innych zanieczyszczeń;</t>
  </si>
  <si>
    <t>pętla Esperanto</t>
  </si>
  <si>
    <t>likwidacja gołoledzi na terenie pętli autobusowej: chodników, jezdni, przystanków, miejsc parkingowych;</t>
  </si>
  <si>
    <t>przejście podziemne Dw. Gdański</t>
  </si>
  <si>
    <t>sprzątanie pomieszczeń biurowych, socjalnych i toalet pracowniczych;</t>
  </si>
  <si>
    <t>sprzątanie i utrzymanie w ciągłej czystości ciągów komunikacyjnych ze schodami granitowymi i ruchomymi;</t>
  </si>
  <si>
    <t>sprzątanie i utrzymanie w ciągłej czystości wind osobowych;</t>
  </si>
  <si>
    <r>
      <t>oczyszczanie kratek kanalizacyjnych, rynien, rur spustowych z</t>
    </r>
    <r>
      <rPr>
        <sz val="10"/>
        <color indexed="8"/>
        <rFont val="Times New Roman"/>
        <family val="1"/>
      </rPr>
      <t xml:space="preserve"> liści, gałęzi, nasion drzew, mułu i innych zanieczyszczeń;</t>
    </r>
  </si>
  <si>
    <t>mycie  zadaszeń zewnętrznych;</t>
  </si>
  <si>
    <t>odśnieżanie zadaszeń zewnętrznych;</t>
  </si>
  <si>
    <t>likwidacja gołoledzi na schodach oraz na zewnętrznych, przyległych chodnikach;</t>
  </si>
  <si>
    <t>odśnieżanie schodów oraz zewnętrznych, przyległych chodników;</t>
  </si>
  <si>
    <t>czyszczenie elementów wyposażenia przejścia;</t>
  </si>
  <si>
    <r>
      <t xml:space="preserve">sprzątanie i utrzymanie w czystości terenu zewnętrznego: przyległych chodników i trawnika, </t>
    </r>
    <r>
      <rPr>
        <sz val="10"/>
        <color indexed="8"/>
        <rFont val="Times New Roman"/>
        <family val="1"/>
      </rPr>
      <t>miejsca wyznaczonego na pojemnik na śmieci;</t>
    </r>
  </si>
  <si>
    <t>P+R Metro Wilanowska</t>
  </si>
  <si>
    <t>utrzymanie w czystości powierzchni działki, na której znajduje się parking i parkingu, tj. powierzchni: jezdni, chodników, trawników, stanowisk parkingowych z dojazdami, klatek schodowych, korytarzy, słupów, ramp, ścian, miejsca wyznaczonego na pojemnik na śmieci, elewacji i ogrodzenia;</t>
  </si>
  <si>
    <t>likwidacja gołoledzi na terenie działki, na której znajduje się parking i na terenie parkingu, tj. powierzchni: jezdni, chodników, stanowisk parkingowych z dojazdami;</t>
  </si>
  <si>
    <t>odśnieżanie terenu działki, na której znajduje się parking oraz terenu parkingu, tj. powierzchni: jezdni, chodników, stanowisk parkingowych z dojazdami;</t>
  </si>
  <si>
    <t>odśnieżanie dachów i zadaszeń budynku parkingowego;</t>
  </si>
  <si>
    <t>oczyszczanie powierzchni dachów i zadaszeń, rynien, rur spustowych, kratek kanalizacyjnych, kratek odwodnienia liniowego, ciągów kanalizacji deszczowej z liści, gałęzi, nasion drzew, mułu i innych zanieczyszczeń;</t>
  </si>
  <si>
    <t>P+R Metro Ursynów</t>
  </si>
  <si>
    <t>utrzymanie w czystości powierzchni działki, na której znajduje się parking, i parkingu tj. powierzchni: jezdni, chodników, trawników, stanowisk parkingowych z dojazdami, ogrodzenia, miejsca wyznaczonego na pojemnik na śmieci, elewacji i wiat;</t>
  </si>
  <si>
    <t>odśnieżanie dachów i zadaszeń obiektów znajdujących się na terenie parkingu: budynku administracyjnego i wiat;</t>
  </si>
  <si>
    <t>oczyszczanie powierzchni dachów i zadaszeń, rynien,  kratek kanalizacyjnych, kratek odwodnienia liniowego, ciągów kanalizacji  deszczowej z liści, gałęzi, nasion drzew, mułu i innych zanieczyszczeń;</t>
  </si>
  <si>
    <t>utrzymanie w czystości pomieszczeń w budynku administracyjnym tj. biurowych,  socjalnych i toalety pracowniczej;</t>
  </si>
  <si>
    <t>P+R Metro Imielin</t>
  </si>
  <si>
    <t>utrzymanie w czystości powierzchni parkingu tj. powierzchni: jezdni, stanowisk parkingowych z dojazdami, klatek schodowych, ramp, ścian, elewacji;</t>
  </si>
  <si>
    <t>likwidacja gołoledzi na terenie parkingu tj. powierzchni: jezdni, stanowisk parkingowych z dojazdami, klatek schodowych;</t>
  </si>
  <si>
    <t>odśnieżanie terenu parkingu, tj. powierzchni: jezdni, stanowisk parkingowych z dojazdami, klatek schodowych i ich zadaszeń;</t>
  </si>
  <si>
    <t>oczyszczanie powierzchni rur spustowych, kratek kanalizacyjnych, kratek odwodnienia liniowego, ciągów kanalizacji deszczowej z liści, gałęzi, nasion drzew, mułu i innych zanieczyszczeń;</t>
  </si>
  <si>
    <t>likwidacja wycieków pozostawionych przez pojazdy.</t>
  </si>
  <si>
    <t>P+R Al. Krakowska z pętlą autobusową</t>
  </si>
  <si>
    <t>utrzymanie w czystości powierzchni działki, na której znajduje się parking, parkingu i pętli, tj. powierzchni: posadzek, jezdni, chodników, trawników, stanowisk parkingowych z dojazdami, klatek schodowych, korytarzy, peronów, przystanków, słupów, ramp, ścian, miejsca wyznaczonego na pojemnik na śmieci i elewacji;</t>
  </si>
  <si>
    <r>
      <t xml:space="preserve">likwidacja gołoledzi na </t>
    </r>
    <r>
      <rPr>
        <sz val="10"/>
        <color indexed="8"/>
        <rFont val="Times New Roman"/>
        <family val="1"/>
      </rPr>
      <t>terenie działki, na której znajduje się parking, na terenie parkingu i pętli, tj. powierzchni: jezdni, chodników, stanowisk parkingowych z dojazdami, peronów i przystanków;</t>
    </r>
  </si>
  <si>
    <t>odśnieżanie terenu działki, na której znajduje się parking, terenu parkingu i pętli tj. powierzchni: jezdni, chodników, stanowisk parkingowych z dojazdami, peronów i przystanków;</t>
  </si>
  <si>
    <t>odśnieżanie dachów i zadaszeń budynku parkingowego i pętli;</t>
  </si>
  <si>
    <t>czyszczenie elementów wyposażenia parkingu i pętli;</t>
  </si>
  <si>
    <t>P+R Ursus Niedźwiadek</t>
  </si>
  <si>
    <t>utrzymanie w czystości powierzchni działki, na której znajduje się parking i parkingu tj. powierzchni: posadzek, jezdni, chodników, rabat, stanowisk parkingowych z dojazdami, klatek schodowych, korytarzy, słupów, ramp, ścian, miejsca wyznaczonego na pojemnik na śmieci i elewacji;</t>
  </si>
  <si>
    <t>likwidacja gołoledzi na terenie działki, na której znajduje się parking i na terenie parkingu tj. powierzchni: jezdni, chodników, stanowisk parkingowych z dojazdami;</t>
  </si>
  <si>
    <t>odśnieżanie terenu działki, na której znajduje się parking i terenu parkingu tj. powierzchni: jezdni, chodników, stanowisk parkingowych z dojazdami;</t>
  </si>
  <si>
    <t>odśnieżanie dachu budynku parkingowego;</t>
  </si>
  <si>
    <t>oczyszczanie powierzchni dachu, rur spustowych, kratek kanalizacyjnych z liści, gałęzi, nasion drzew, mułu i innych zanieczyszczeń;</t>
  </si>
  <si>
    <t>sprzątanie i utrzymanie w czystości wind osobowych;</t>
  </si>
  <si>
    <t>P+R Połczyńska</t>
  </si>
  <si>
    <t>utrzymanie w czystości powierzchni działki, na której znajduje się parking i parkingu, tj. powierzchni: jezdni, chodników, trawników, stanowisk parkingowych z dojazdami, elewacji, miejsca wyznaczonego na pojemnik na śmieci i ogrodzenia;</t>
  </si>
  <si>
    <t>odśnieżanie dachów i zadaszeń budynku administracyjnego;</t>
  </si>
  <si>
    <t>utrzymanie w czystości pomieszczeń w budynku administracyjnym tj. biurowych, socjalnych i toalet pracowniczych;</t>
  </si>
  <si>
    <t>P+R Wawer SKM</t>
  </si>
  <si>
    <r>
      <t xml:space="preserve">odśnieżanie terenu działki, na której znajduje się parking oraz terenu parkingu, </t>
    </r>
    <r>
      <rPr>
        <sz val="10"/>
        <color indexed="8"/>
        <rFont val="Times New Roman"/>
        <family val="1"/>
      </rPr>
      <t>tj. powierzchni</t>
    </r>
    <r>
      <rPr>
        <sz val="10"/>
        <color indexed="8"/>
        <rFont val="Times New Roman"/>
        <family val="1"/>
      </rPr>
      <t>: jezdni, chodników, stanowisk parkingowych z dojazdami;</t>
    </r>
  </si>
  <si>
    <t xml:space="preserve">odśnieżanie dachów i zadaszeń obiektów znajdujących się na terenie parkingu: budynku administracyjnego i wiat; </t>
  </si>
  <si>
    <t>oczyszczanie powierzchni dachów i zadaszeń, rynien, kratek kanalizacyjnych, kratek odwodnienia liniowego, ciągów kanalizacji  deszczowej z liści, gałęzi, nasion drzew, mułu i innych zanieczyszczeń;</t>
  </si>
  <si>
    <t>utrzymanie w czystości pomieszczeń w budynku administracyjnym tj. biurowych, socjalnych, toalety pracowniczej;</t>
  </si>
  <si>
    <t>sprzątanie i utrzymanie w czystości pomieszczeń toalet ogólnodostępnych;</t>
  </si>
  <si>
    <t>wywóz nieczystości płynnych;</t>
  </si>
  <si>
    <t>P+R Anin SKM</t>
  </si>
  <si>
    <t>pętla autobusowa Dw. Wschodni</t>
  </si>
  <si>
    <t>utrzymanie w czystości pomieszczeń w budynku ekspedycji tj. biurowych, socjalnych, kas biletowych, toalet pracowniczych i ogólnodostępnych;</t>
  </si>
  <si>
    <t>utrzymanie w czystości  powierzchni działki, na której znajduje się pętla autobusowa, tj. powierzchni: jezdni, chodników, ścieżek rowerowych, trawników, przystanków, miejsc parkingowych, miejsca wyznaczonego na pojemnik na śmieci, elewacji budynku ekspedycji;</t>
  </si>
  <si>
    <t>likwidacja gołoledzi na terenie pętli autobusowej:  chodników, ścieżek rowerowych, jezdni, przystanków, miejsc parkingowych;</t>
  </si>
  <si>
    <t>odśnieżanie  terenu pętli autobusowej: chodników, ścieżek rowerowych, jezdni, przystanków, miejsc parkingowych;</t>
  </si>
  <si>
    <t>odśnieżanie dachu budynku ekspedycji;</t>
  </si>
  <si>
    <t>odśnieżanie zadaszenia membranowego pętli autobusowej;</t>
  </si>
  <si>
    <t>oczyszczanie powierzchni dachu budynku ekspedycji, rur spustowych, kratek kanalizacyjnych, koszy zadaszenia membranowego z liści, gałęzi, nasion drzew, mułu i innych zanieczyszczeń;</t>
  </si>
  <si>
    <t>utrzymanie w czystości pętli autobusowej, tramwajowej, ciągów pieszych, ścieżek rowerowych, dróg dojazdowych, wjazdów i wyjazdów, terenów zielonych, miejsc wyznaczonych na pojemniki na śmieci, elewacji, słupów i ścian;patio, pod ławkami i perony autobusowe;</t>
  </si>
  <si>
    <t>P+R Metro Stokłosy z pętlą autobusową</t>
  </si>
  <si>
    <t>częstotliwość miesięczna</t>
  </si>
  <si>
    <t>czynność/m-c</t>
  </si>
  <si>
    <t>utrzymanie w czystości powierzchni działki, na której znajduje się parking, parkingu i pętli, tj. powierzchni: posadzek, jezdni, chodników, ścieżek rowerowych, trawników, stanowisk parkingowych z dojazdami, klatek schodowych, peronów, przystanków, słupów, ramp, ścian i elewacji;</t>
  </si>
  <si>
    <t>likwidacja gołoledzi na terenie działki, na której znajduje się parking, na terenie parkingu i pętli, tj. powierzchni: jezdni, chodników, stanowisk parkingowych z dojazdami, peronów i przystanków;</t>
  </si>
  <si>
    <t xml:space="preserve"> d)</t>
  </si>
  <si>
    <t xml:space="preserve"> g)</t>
  </si>
  <si>
    <t>mycie koszy na śmieci oraz pojemnika na odpady;</t>
  </si>
  <si>
    <t>sprzątanie i utrzymanie w ciągłej czystości windy osobowej;</t>
  </si>
  <si>
    <t>P+R Metro Wawrzyszew</t>
  </si>
  <si>
    <t>utrzymanie w czystości powierzchni działki, na której znajduje się parking, i parkingu tj. powierzchni: jezdni, chodników, stanowisk parkingowych z dojazdami, ogrodzenia;</t>
  </si>
  <si>
    <t>opróżnianie oraz wymiana worków plastikowych w koszach na śmieci i wywóz śmieci z terenu parkingu;</t>
  </si>
  <si>
    <t>przejście podziemne Ursus Niedźwiadek</t>
  </si>
  <si>
    <t>sprzątanie i utrzymanie w ciągłej czystości ciągu komunikacyjnego przejścia podziemnego ze schodami granitowymi;</t>
  </si>
  <si>
    <t>opróżnianie oraz wymiana worków plastikowych w koszach na śmieci i wywóz śmieci z terenu przejścia;</t>
  </si>
  <si>
    <r>
      <t>oczyszczanie kratek kanalizacyjnych, zadaszeń szklanych przejścia z</t>
    </r>
    <r>
      <rPr>
        <sz val="10"/>
        <color indexed="8"/>
        <rFont val="Times New Roman"/>
        <family val="1"/>
      </rPr>
      <t xml:space="preserve"> liści, gałęzi, nasion drzew, mułu i innych zanieczyszczeń;</t>
    </r>
  </si>
  <si>
    <t>likwidacja gołoledzi na schodach oraz na terenie zewnętrznym;</t>
  </si>
  <si>
    <t>odśnieżanie schodów oraz terenu zewnętrznego;</t>
  </si>
  <si>
    <t>sprzątanie i utrzymanie w czystości terenu zewnętrznego;</t>
  </si>
  <si>
    <t>AK"Kampinos</t>
  </si>
  <si>
    <t>sprzątanie pomieszczeń biurowych, socjalnych i toalet pracowniczych</t>
  </si>
  <si>
    <t>sprzatanie pomieszczeń technicznych</t>
  </si>
  <si>
    <t>likwidacja gołoledzi na schodacch prowadzących do budynku</t>
  </si>
  <si>
    <t>odśnieżanie schodów prowadzących do budynku</t>
  </si>
  <si>
    <t>utrzymanie w czystości schodów prowadzących do budynku</t>
  </si>
  <si>
    <t>17.</t>
  </si>
  <si>
    <t>18.</t>
  </si>
  <si>
    <t>19.</t>
  </si>
  <si>
    <t>20.</t>
  </si>
  <si>
    <t>P+R Metro Stokłosy</t>
  </si>
  <si>
    <t>budynek biurowy AK"Kampinos"</t>
  </si>
  <si>
    <t>WKM tereny zielone</t>
  </si>
  <si>
    <t>ogólna pielęgnacja terenów zielonych</t>
  </si>
  <si>
    <t>pielęgnacja młodych drzew</t>
  </si>
  <si>
    <t>pielęgnacja starych drzew</t>
  </si>
  <si>
    <t>pielęgnacja krzewów</t>
  </si>
  <si>
    <t>pielęgnacja rabat</t>
  </si>
  <si>
    <t>usuwanie przerostów</t>
  </si>
  <si>
    <t>pielęgnacja trawników</t>
  </si>
  <si>
    <t>konserwacja systemu nawadniania kropelkowego</t>
  </si>
  <si>
    <t>Marymont tereny zielone</t>
  </si>
  <si>
    <t>Ursynów tereny zielone</t>
  </si>
  <si>
    <t>Wilanowska tereny zielone</t>
  </si>
  <si>
    <t>pętla Marymont tereny zielone</t>
  </si>
  <si>
    <t>Al. Krakowska tereny zielone</t>
  </si>
  <si>
    <t>P+R Ursus Niedźwiadek tereny zielone</t>
  </si>
  <si>
    <t>Połczyńska tereny zielone</t>
  </si>
  <si>
    <t>Wawer tereny zielone</t>
  </si>
  <si>
    <t>Anin tereny zielone</t>
  </si>
  <si>
    <t>pętla Dw. Wschodni tereny zielone</t>
  </si>
  <si>
    <t>Stokłosy tereny zielone</t>
  </si>
  <si>
    <t>przejście podziemne Ursus Niedżwiadek tereny zielone</t>
  </si>
  <si>
    <t>P+R Stadion Narodowy</t>
  </si>
  <si>
    <t>likwidacja gołoledzi na terenie parkingu, tj. powierzchni stanowisk parkingowych;</t>
  </si>
  <si>
    <t>odśnieżanie terenu parkingu, tj. powierzchni stanowisk parkingowych;</t>
  </si>
  <si>
    <t>Obiekt - tereny zielone</t>
  </si>
  <si>
    <t>Węzeł Komunikacyjny Młociny</t>
  </si>
  <si>
    <t>P+R Al. Krakowska</t>
  </si>
  <si>
    <t>pętla autobusowa Metro Marymont</t>
  </si>
  <si>
    <t>lączna wartość brutto:</t>
  </si>
  <si>
    <t>21.</t>
  </si>
  <si>
    <t>B1 pkt 1 ppkt 1.2 OPZ</t>
  </si>
  <si>
    <t xml:space="preserve">   A1. pkt 1. ppkt
2) OPZ</t>
  </si>
  <si>
    <t xml:space="preserve"> B1 pkt 1 ppkt 1.1 OPZ</t>
  </si>
  <si>
    <t>A1. pkt 1.1) ppkt
1.3) OPZ</t>
  </si>
  <si>
    <t xml:space="preserve"> A1. pkt
 1. 1) ppkt
1.2) OPZ</t>
  </si>
  <si>
    <t>A1. pkt 1. 1)  ppkt
1.1) OPZ</t>
  </si>
  <si>
    <t>A1. pkt 1. ppkt 3)  OPZ</t>
  </si>
  <si>
    <t>B1 pkt. 1 ppkt. 1.3 OPZ</t>
  </si>
  <si>
    <t>A1. pkt 1. ppkt 4) OPZ</t>
  </si>
  <si>
    <t xml:space="preserve"> A1. pkt 1 ppkt 5) OPZ</t>
  </si>
  <si>
    <t>A1. pkt 1. ppkt 6) OPZ</t>
  </si>
  <si>
    <t>B1. pkt. 1 ppkt. 1.4 OPZ</t>
  </si>
  <si>
    <t>A1. pkt 1. ppkt 7) OPZ</t>
  </si>
  <si>
    <t>B1 pkt. 1 ppkt. 1.5 OPZ</t>
  </si>
  <si>
    <t>A1. pkt 1. ppkt 8) OPZ</t>
  </si>
  <si>
    <t>A1. pkt 1. ppkt 9) OPZ</t>
  </si>
  <si>
    <t>A1. pkt 1. ppkt 10) OPZ</t>
  </si>
  <si>
    <t>B1 pkt 1 ppkt 1.7 OPZ</t>
  </si>
  <si>
    <t>A1. pkt 1. ppkt 11) OPZ</t>
  </si>
  <si>
    <t>B1 pkt 1 ppkt 1.8 OPZ</t>
  </si>
  <si>
    <t>A1. pkt 1. ppkt 12) OPZ</t>
  </si>
  <si>
    <t>B1. pkt 1 ppkt 1.9 OPZ</t>
  </si>
  <si>
    <t>A1 pkt 1. ppkt 13) OPZ</t>
  </si>
  <si>
    <t>B1 pkt 1 ppkt 1.10 OPZ</t>
  </si>
  <si>
    <t>A1. pkt 1. ppkt 14) OPZ</t>
  </si>
  <si>
    <t>B1 pkt 1 ppkt 1.11 OPZ</t>
  </si>
  <si>
    <t>A1.pkt 1. ppkt 15) OPZ</t>
  </si>
  <si>
    <t>B1 pkt 1 ppkt 1.12 OPZ</t>
  </si>
  <si>
    <t xml:space="preserve"> A1. pkt 1. ppkt 16) OPZ</t>
  </si>
  <si>
    <t>A1. pkt 1. ppkt 17) OPZ</t>
  </si>
  <si>
    <t>B1 pkt 1 ppkt 1.13 OPZ</t>
  </si>
  <si>
    <t>A1. pkt 1. ppkt 18) OPZ</t>
  </si>
  <si>
    <t>A1. pkt 1. ppkt 19) OPZ</t>
  </si>
  <si>
    <t>B1. pkt 1 ppkt 1.6 OPZ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</si>
</sst>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2" fontId="20" fillId="0" borderId="10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justify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right" wrapText="1"/>
    </xf>
    <xf numFmtId="0" fontId="20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4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4" fontId="20" fillId="0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4" fontId="20" fillId="25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25" borderId="10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justify"/>
    </xf>
    <xf numFmtId="0" fontId="21" fillId="0" borderId="14" xfId="0" applyFont="1" applyBorder="1" applyAlignment="1">
      <alignment horizontal="left" wrapText="1"/>
    </xf>
    <xf numFmtId="4" fontId="20" fillId="0" borderId="13" xfId="0" applyNumberFormat="1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25" borderId="16" xfId="0" applyFont="1" applyFill="1" applyBorder="1" applyAlignment="1">
      <alignment/>
    </xf>
    <xf numFmtId="0" fontId="20" fillId="0" borderId="16" xfId="0" applyFont="1" applyBorder="1" applyAlignment="1">
      <alignment horizontal="right"/>
    </xf>
    <xf numFmtId="4" fontId="19" fillId="0" borderId="13" xfId="0" applyNumberFormat="1" applyFont="1" applyBorder="1" applyAlignment="1">
      <alignment/>
    </xf>
    <xf numFmtId="4" fontId="18" fillId="0" borderId="18" xfId="0" applyNumberFormat="1" applyFont="1" applyBorder="1" applyAlignment="1">
      <alignment/>
    </xf>
    <xf numFmtId="0" fontId="18" fillId="0" borderId="20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/>
    </xf>
    <xf numFmtId="4" fontId="23" fillId="0" borderId="18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18" fillId="26" borderId="2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0" xfId="0" applyFont="1" applyBorder="1" applyAlignment="1">
      <alignment horizontal="right"/>
    </xf>
    <xf numFmtId="4" fontId="19" fillId="0" borderId="19" xfId="0" applyNumberFormat="1" applyFont="1" applyBorder="1" applyAlignment="1">
      <alignment/>
    </xf>
    <xf numFmtId="0" fontId="20" fillId="25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4.28125" style="0" customWidth="1"/>
    <col min="2" max="2" width="37.28125" style="0" customWidth="1"/>
    <col min="3" max="3" width="14.281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2" t="s">
        <v>3</v>
      </c>
      <c r="B2" s="2" t="str">
        <f>'WKM parking'!B1</f>
        <v>WKM P+R Metro Młociny</v>
      </c>
      <c r="C2" s="3"/>
    </row>
    <row r="3" spans="1:3" ht="15.75">
      <c r="A3" s="2" t="s">
        <v>4</v>
      </c>
      <c r="B3" s="2" t="str">
        <f>'WKM pow. wew.'!B1</f>
        <v>WKM powierzchnie wewn.</v>
      </c>
      <c r="C3" s="3"/>
    </row>
    <row r="4" spans="1:3" ht="15.75">
      <c r="A4" s="2" t="s">
        <v>5</v>
      </c>
      <c r="B4" s="2" t="str">
        <f>'WKM pow. zew.  '!B1</f>
        <v>WKM powierzchnie zewn.</v>
      </c>
      <c r="C4" s="3"/>
    </row>
    <row r="5" spans="1:3" ht="15.75">
      <c r="A5" s="2" t="s">
        <v>6</v>
      </c>
      <c r="B5" s="2" t="str">
        <f>Marymont!B1</f>
        <v>P+R Metro Marymont</v>
      </c>
      <c r="C5" s="3"/>
    </row>
    <row r="6" spans="1:3" ht="15.75">
      <c r="A6" s="2" t="s">
        <v>7</v>
      </c>
      <c r="B6" s="2" t="str">
        <f>'p. Marymont'!B1</f>
        <v>pętla Metro Marymont</v>
      </c>
      <c r="C6" s="3"/>
    </row>
    <row r="7" spans="1:3" ht="15.75">
      <c r="A7" s="2" t="s">
        <v>8</v>
      </c>
      <c r="B7" s="2" t="str">
        <f>'p. Esperanto'!B1</f>
        <v>pętla Esperanto</v>
      </c>
      <c r="C7" s="3"/>
    </row>
    <row r="8" spans="1:3" ht="15.75">
      <c r="A8" s="2" t="s">
        <v>9</v>
      </c>
      <c r="B8" s="2" t="str">
        <f>'p. Gdański'!B1</f>
        <v>przejście podziemne Dw. Gdański</v>
      </c>
      <c r="C8" s="3"/>
    </row>
    <row r="9" spans="1:3" ht="15.75">
      <c r="A9" s="2" t="s">
        <v>10</v>
      </c>
      <c r="B9" s="2" t="str">
        <f>Wilanowska!B1</f>
        <v>P+R Metro Wilanowska</v>
      </c>
      <c r="C9" s="3"/>
    </row>
    <row r="10" spans="1:3" ht="15.75">
      <c r="A10" s="2" t="s">
        <v>11</v>
      </c>
      <c r="B10" s="2" t="str">
        <f>Ursynów!B1</f>
        <v>P+R Metro Ursynów</v>
      </c>
      <c r="C10" s="3"/>
    </row>
    <row r="11" spans="1:3" ht="15.75">
      <c r="A11" s="2" t="s">
        <v>12</v>
      </c>
      <c r="B11" s="2" t="str">
        <f>Imielin!B1</f>
        <v>P+R Metro Imielin</v>
      </c>
      <c r="C11" s="3"/>
    </row>
    <row r="12" spans="1:3" ht="15.75">
      <c r="A12" s="2" t="s">
        <v>13</v>
      </c>
      <c r="B12" s="2" t="str">
        <f>'Al. Krakowska'!B1</f>
        <v>P+R Al. Krakowska z pętlą autobusową</v>
      </c>
      <c r="C12" s="3"/>
    </row>
    <row r="13" spans="1:3" ht="15.75">
      <c r="A13" s="2" t="s">
        <v>14</v>
      </c>
      <c r="B13" s="2" t="str">
        <f>Ursus!B1</f>
        <v>P+R Ursus Niedźwiadek</v>
      </c>
      <c r="C13" s="3"/>
    </row>
    <row r="14" spans="1:3" ht="15.75">
      <c r="A14" s="2" t="s">
        <v>15</v>
      </c>
      <c r="B14" s="2" t="str">
        <f>Połczyńska!B1</f>
        <v>P+R Połczyńska</v>
      </c>
      <c r="C14" s="3"/>
    </row>
    <row r="15" spans="1:3" ht="15.75">
      <c r="A15" s="2" t="s">
        <v>16</v>
      </c>
      <c r="B15" s="2" t="str">
        <f>Wawer!B1</f>
        <v>P+R Wawer SKM</v>
      </c>
      <c r="C15" s="3"/>
    </row>
    <row r="16" spans="1:3" ht="15.75">
      <c r="A16" s="2" t="s">
        <v>17</v>
      </c>
      <c r="B16" s="2" t="str">
        <f>Anin!B1</f>
        <v>P+R Anin SKM</v>
      </c>
      <c r="C16" s="3"/>
    </row>
    <row r="17" spans="1:3" ht="15.75">
      <c r="A17" s="2" t="s">
        <v>18</v>
      </c>
      <c r="B17" s="2" t="str">
        <f>'p. Wschodni'!B1</f>
        <v>pętla autobusowa Dw. Wschodni</v>
      </c>
      <c r="C17" s="3"/>
    </row>
    <row r="18" spans="1:3" ht="15.75">
      <c r="A18" s="2" t="s">
        <v>187</v>
      </c>
      <c r="B18" s="2" t="s">
        <v>191</v>
      </c>
      <c r="C18" s="3"/>
    </row>
    <row r="19" spans="1:3" ht="15.75">
      <c r="A19" s="2" t="s">
        <v>188</v>
      </c>
      <c r="B19" s="2" t="s">
        <v>171</v>
      </c>
      <c r="C19" s="3"/>
    </row>
    <row r="20" spans="1:3" ht="15.75">
      <c r="A20" s="2" t="s">
        <v>189</v>
      </c>
      <c r="B20" s="2" t="s">
        <v>174</v>
      </c>
      <c r="C20" s="3"/>
    </row>
    <row r="21" spans="1:3" ht="15.75">
      <c r="A21" s="122" t="s">
        <v>190</v>
      </c>
      <c r="B21" s="122" t="s">
        <v>192</v>
      </c>
      <c r="C21" s="111"/>
    </row>
    <row r="22" spans="1:3" ht="16.5" thickBot="1">
      <c r="A22" s="123" t="s">
        <v>222</v>
      </c>
      <c r="B22" s="123" t="s">
        <v>214</v>
      </c>
      <c r="C22" s="127"/>
    </row>
    <row r="23" spans="1:3" ht="16.5" thickBot="1">
      <c r="A23" s="123"/>
      <c r="B23" s="126" t="s">
        <v>19</v>
      </c>
      <c r="C23" s="112"/>
    </row>
    <row r="24" spans="1:3" ht="12.75">
      <c r="A24" s="125"/>
      <c r="B24" s="125"/>
      <c r="C24" s="125"/>
    </row>
    <row r="25" spans="1:3" ht="15.75">
      <c r="A25" s="124" t="s">
        <v>0</v>
      </c>
      <c r="B25" s="124" t="s">
        <v>217</v>
      </c>
      <c r="C25" s="124" t="s">
        <v>2</v>
      </c>
    </row>
    <row r="26" spans="1:3" ht="15.75">
      <c r="A26" s="102" t="s">
        <v>3</v>
      </c>
      <c r="B26" s="103" t="s">
        <v>218</v>
      </c>
      <c r="C26" s="103"/>
    </row>
    <row r="27" spans="1:3" ht="15.75">
      <c r="A27" s="102" t="s">
        <v>4</v>
      </c>
      <c r="B27" s="103" t="s">
        <v>81</v>
      </c>
      <c r="C27" s="103"/>
    </row>
    <row r="28" spans="1:3" ht="15.75">
      <c r="A28" s="102" t="s">
        <v>5</v>
      </c>
      <c r="B28" s="103" t="s">
        <v>220</v>
      </c>
      <c r="C28" s="103"/>
    </row>
    <row r="29" spans="1:3" ht="15.75">
      <c r="A29" s="102" t="s">
        <v>6</v>
      </c>
      <c r="B29" s="103" t="s">
        <v>111</v>
      </c>
      <c r="C29" s="103"/>
    </row>
    <row r="30" spans="1:3" ht="15.75">
      <c r="A30" s="102" t="s">
        <v>7</v>
      </c>
      <c r="B30" s="103" t="s">
        <v>117</v>
      </c>
      <c r="C30" s="103"/>
    </row>
    <row r="31" spans="1:3" ht="15.75">
      <c r="A31" s="102" t="s">
        <v>8</v>
      </c>
      <c r="B31" s="103" t="s">
        <v>219</v>
      </c>
      <c r="C31" s="103"/>
    </row>
    <row r="32" spans="1:3" ht="15.75">
      <c r="A32" s="102" t="s">
        <v>9</v>
      </c>
      <c r="B32" s="103" t="s">
        <v>134</v>
      </c>
      <c r="C32" s="103"/>
    </row>
    <row r="33" spans="1:3" ht="15.75">
      <c r="A33" s="102" t="s">
        <v>10</v>
      </c>
      <c r="B33" s="103" t="s">
        <v>141</v>
      </c>
      <c r="C33" s="103"/>
    </row>
    <row r="34" spans="1:3" ht="15.75">
      <c r="A34" s="102" t="s">
        <v>11</v>
      </c>
      <c r="B34" s="103" t="s">
        <v>145</v>
      </c>
      <c r="C34" s="103"/>
    </row>
    <row r="35" spans="1:3" ht="15.75">
      <c r="A35" s="102" t="s">
        <v>12</v>
      </c>
      <c r="B35" s="103" t="s">
        <v>152</v>
      </c>
      <c r="C35" s="103"/>
    </row>
    <row r="36" spans="1:3" ht="15.75">
      <c r="A36" s="102" t="s">
        <v>13</v>
      </c>
      <c r="B36" s="103" t="s">
        <v>153</v>
      </c>
      <c r="C36" s="103"/>
    </row>
    <row r="37" spans="1:3" ht="15.75">
      <c r="A37" s="102" t="s">
        <v>14</v>
      </c>
      <c r="B37" s="103" t="s">
        <v>191</v>
      </c>
      <c r="C37" s="103"/>
    </row>
    <row r="38" spans="1:3" ht="16.5" thickBot="1">
      <c r="A38" s="102" t="s">
        <v>15</v>
      </c>
      <c r="B38" s="103" t="s">
        <v>174</v>
      </c>
      <c r="C38" s="114"/>
    </row>
    <row r="39" spans="1:3" ht="16.5" thickBot="1">
      <c r="A39" s="103"/>
      <c r="B39" s="113" t="s">
        <v>221</v>
      </c>
      <c r="C39" s="115"/>
    </row>
  </sheetData>
  <sheetProtection selectLockedCells="1" selectUnlockedCells="1"/>
  <printOptions gridLines="1"/>
  <pageMargins left="0.7479166666666667" right="0.7479166666666667" top="1.0118055555555556" bottom="1.1506944444444445" header="0.8451388888888889" footer="0.9840277777777777"/>
  <pageSetup horizontalDpi="300" verticalDpi="300" orientation="landscape" paperSize="9" r:id="rId1"/>
  <headerFooter alignWithMargins="0">
    <oddHeader>&amp;R&amp;"Times New Roman,Normalny"&amp;12Załącznik Nr 1 do Umowy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4" customWidth="1"/>
    <col min="2" max="2" width="48.57421875" style="4" customWidth="1"/>
    <col min="3" max="3" width="7.28125" style="4" customWidth="1"/>
    <col min="4" max="4" width="8.7109375" style="5" customWidth="1"/>
    <col min="5" max="5" width="4.8515625" style="5" customWidth="1"/>
    <col min="6" max="6" width="6.00390625" style="5" customWidth="1"/>
    <col min="7" max="7" width="14.8515625" style="5" customWidth="1"/>
    <col min="8" max="8" width="11.421875" style="4" customWidth="1"/>
    <col min="9" max="9" width="4.7109375" style="6" customWidth="1"/>
    <col min="10" max="10" width="8.421875" style="4" customWidth="1"/>
    <col min="11" max="16384" width="9.140625" style="4" customWidth="1"/>
  </cols>
  <sheetData>
    <row r="1" spans="1:10" ht="12.75">
      <c r="A1" s="7"/>
      <c r="B1" s="7" t="s">
        <v>98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s="18" customFormat="1" ht="37.5" customHeight="1">
      <c r="A2" s="12" t="s">
        <v>231</v>
      </c>
      <c r="B2" s="13" t="s">
        <v>22</v>
      </c>
      <c r="C2" s="61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s="22" customFormat="1" ht="25.5">
      <c r="A3" s="13"/>
      <c r="B3" s="13"/>
      <c r="C3" s="12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2" t="s">
        <v>35</v>
      </c>
      <c r="J3" s="16" t="s">
        <v>30</v>
      </c>
    </row>
    <row r="4" spans="1:10" s="18" customFormat="1" ht="12.75" customHeight="1">
      <c r="A4" s="135" t="s">
        <v>36</v>
      </c>
      <c r="B4" s="138" t="s">
        <v>91</v>
      </c>
      <c r="C4" s="38"/>
      <c r="D4" s="15">
        <v>37.08</v>
      </c>
      <c r="E4" s="36"/>
      <c r="F4" s="24"/>
      <c r="G4" s="15">
        <f>(6*52)/12</f>
        <v>26</v>
      </c>
      <c r="H4" s="14"/>
      <c r="I4" s="16">
        <v>23</v>
      </c>
      <c r="J4" s="14"/>
    </row>
    <row r="5" spans="1:10" s="18" customFormat="1" ht="12.75">
      <c r="A5" s="135"/>
      <c r="B5" s="138"/>
      <c r="C5" s="38"/>
      <c r="D5" s="15">
        <v>9.92</v>
      </c>
      <c r="E5" s="36"/>
      <c r="F5" s="24"/>
      <c r="G5" s="15">
        <f>6*3*52/12</f>
        <v>78</v>
      </c>
      <c r="H5" s="14"/>
      <c r="I5" s="16">
        <v>23</v>
      </c>
      <c r="J5" s="14"/>
    </row>
    <row r="6" spans="1:10" s="18" customFormat="1" ht="63.75">
      <c r="A6" s="13" t="s">
        <v>38</v>
      </c>
      <c r="B6" s="23" t="s">
        <v>92</v>
      </c>
      <c r="C6" s="38"/>
      <c r="D6" s="15">
        <f>4516+1791+40+1865</f>
        <v>8212</v>
      </c>
      <c r="E6" s="24"/>
      <c r="F6" s="24"/>
      <c r="G6" s="25">
        <f>26/12</f>
        <v>2.17</v>
      </c>
      <c r="H6" s="14"/>
      <c r="I6" s="16">
        <v>8</v>
      </c>
      <c r="J6" s="28"/>
    </row>
    <row r="7" spans="1:10" s="18" customFormat="1" ht="25.5">
      <c r="A7" s="13" t="s">
        <v>40</v>
      </c>
      <c r="B7" s="23" t="s">
        <v>99</v>
      </c>
      <c r="C7" s="38"/>
      <c r="D7" s="15">
        <v>3696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s="18" customFormat="1" ht="25.5">
      <c r="A8" s="13" t="s">
        <v>42</v>
      </c>
      <c r="B8" s="23" t="s">
        <v>94</v>
      </c>
      <c r="C8" s="38"/>
      <c r="D8" s="15">
        <f>D7</f>
        <v>3696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s="18" customFormat="1" ht="15" customHeight="1">
      <c r="A9" s="13" t="s">
        <v>44</v>
      </c>
      <c r="B9" s="23" t="s">
        <v>95</v>
      </c>
      <c r="C9" s="38"/>
      <c r="D9" s="15">
        <f>63.5+28.7</f>
        <v>92.2</v>
      </c>
      <c r="E9" s="24"/>
      <c r="F9" s="24"/>
      <c r="G9" s="28">
        <f>2/12</f>
        <v>0.17</v>
      </c>
      <c r="H9" s="14"/>
      <c r="I9" s="16">
        <v>8</v>
      </c>
      <c r="J9" s="28"/>
    </row>
    <row r="10" spans="1:10" s="18" customFormat="1" ht="14.25" customHeight="1">
      <c r="A10" s="13" t="s">
        <v>46</v>
      </c>
      <c r="B10" s="45" t="s">
        <v>96</v>
      </c>
      <c r="C10" s="38"/>
      <c r="D10" s="24"/>
      <c r="E10" s="15">
        <v>87</v>
      </c>
      <c r="F10" s="24"/>
      <c r="G10" s="15">
        <v>1</v>
      </c>
      <c r="H10" s="14"/>
      <c r="I10" s="16">
        <v>8</v>
      </c>
      <c r="J10" s="14"/>
    </row>
    <row r="11" spans="1:10" s="18" customFormat="1" ht="25.5">
      <c r="A11" s="13" t="s">
        <v>48</v>
      </c>
      <c r="B11" s="37" t="s">
        <v>72</v>
      </c>
      <c r="C11" s="38"/>
      <c r="D11" s="24"/>
      <c r="E11" s="15">
        <v>4</v>
      </c>
      <c r="F11" s="24"/>
      <c r="G11" s="15">
        <f>(6*52)/12</f>
        <v>26</v>
      </c>
      <c r="H11" s="14"/>
      <c r="I11" s="16">
        <v>8</v>
      </c>
      <c r="J11" s="14"/>
    </row>
    <row r="12" spans="1:10" s="18" customFormat="1" ht="15" customHeight="1">
      <c r="A12" s="13" t="s">
        <v>50</v>
      </c>
      <c r="B12" s="47" t="s">
        <v>74</v>
      </c>
      <c r="C12" s="38"/>
      <c r="D12" s="24"/>
      <c r="E12" s="15">
        <v>4</v>
      </c>
      <c r="F12" s="24"/>
      <c r="G12" s="15">
        <v>1</v>
      </c>
      <c r="H12" s="14"/>
      <c r="I12" s="16">
        <v>8</v>
      </c>
      <c r="J12" s="14"/>
    </row>
    <row r="13" spans="1:10" s="18" customFormat="1" ht="15" customHeight="1">
      <c r="A13" s="13" t="s">
        <v>52</v>
      </c>
      <c r="B13" s="37" t="s">
        <v>76</v>
      </c>
      <c r="C13" s="38"/>
      <c r="D13" s="24"/>
      <c r="E13" s="24"/>
      <c r="F13" s="15">
        <v>1</v>
      </c>
      <c r="G13" s="15">
        <v>1</v>
      </c>
      <c r="H13" s="14"/>
      <c r="I13" s="16">
        <v>8</v>
      </c>
      <c r="J13" s="14"/>
    </row>
    <row r="14" spans="1:10" s="18" customFormat="1" ht="51.75" thickBot="1">
      <c r="A14" s="13" t="s">
        <v>73</v>
      </c>
      <c r="B14" s="23" t="s">
        <v>97</v>
      </c>
      <c r="C14" s="38"/>
      <c r="D14" s="24"/>
      <c r="E14" s="24"/>
      <c r="F14" s="15">
        <v>1</v>
      </c>
      <c r="G14" s="15">
        <v>1</v>
      </c>
      <c r="H14" s="14"/>
      <c r="I14" s="16">
        <v>8</v>
      </c>
      <c r="J14" s="117"/>
    </row>
    <row r="15" spans="1:10" s="18" customFormat="1" ht="13.5" thickBot="1">
      <c r="A15" s="29"/>
      <c r="B15" s="41" t="s">
        <v>63</v>
      </c>
      <c r="C15" s="16" t="s">
        <v>54</v>
      </c>
      <c r="D15" s="20" t="s">
        <v>54</v>
      </c>
      <c r="E15" s="20" t="s">
        <v>54</v>
      </c>
      <c r="F15" s="20" t="s">
        <v>54</v>
      </c>
      <c r="G15" s="20" t="s">
        <v>54</v>
      </c>
      <c r="H15" s="16" t="s">
        <v>54</v>
      </c>
      <c r="I15" s="116" t="s">
        <v>54</v>
      </c>
      <c r="J15" s="105"/>
    </row>
    <row r="16" spans="4:9" s="18" customFormat="1" ht="12.75">
      <c r="D16" s="30"/>
      <c r="E16" s="30"/>
      <c r="F16" s="30"/>
      <c r="G16" s="30"/>
      <c r="I16" s="22"/>
    </row>
    <row r="17" spans="4:9" s="18" customFormat="1" ht="12.75">
      <c r="D17" s="30"/>
      <c r="E17" s="30"/>
      <c r="F17" s="30"/>
      <c r="G17" s="30"/>
      <c r="I17" s="22"/>
    </row>
    <row r="18" spans="4:9" s="18" customFormat="1" ht="12.75">
      <c r="D18" s="30"/>
      <c r="E18" s="30"/>
      <c r="F18" s="30"/>
      <c r="G18" s="30"/>
      <c r="I18" s="22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70625" bottom="0.9854166666666666" header="0.5118055555555555" footer="0.5118055555555555"/>
  <pageSetup horizontalDpi="300" verticalDpi="300" orientation="landscape" paperSize="9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5.00390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7" t="s">
        <v>100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s="34" customFormat="1" ht="57.75" customHeight="1">
      <c r="A2" s="62" t="s">
        <v>232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5" t="s">
        <v>28</v>
      </c>
      <c r="I2" s="16" t="s">
        <v>29</v>
      </c>
      <c r="J2" s="17" t="s">
        <v>2</v>
      </c>
    </row>
    <row r="3" spans="1:10" s="44" customFormat="1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20" t="s">
        <v>30</v>
      </c>
      <c r="I3" s="16" t="s">
        <v>35</v>
      </c>
      <c r="J3" s="16" t="s">
        <v>30</v>
      </c>
    </row>
    <row r="4" spans="1:10" s="34" customFormat="1" ht="26.25" customHeight="1">
      <c r="A4" s="13" t="s">
        <v>36</v>
      </c>
      <c r="B4" s="63" t="s">
        <v>101</v>
      </c>
      <c r="C4" s="14"/>
      <c r="D4" s="25">
        <v>69.57</v>
      </c>
      <c r="E4" s="24"/>
      <c r="F4" s="24"/>
      <c r="G4" s="15">
        <f>(5*52)/12</f>
        <v>21.67</v>
      </c>
      <c r="H4" s="14"/>
      <c r="I4" s="16">
        <v>23</v>
      </c>
      <c r="J4" s="28"/>
    </row>
    <row r="5" spans="1:10" s="34" customFormat="1" ht="15" customHeight="1">
      <c r="A5" s="13" t="s">
        <v>38</v>
      </c>
      <c r="B5" s="64" t="s">
        <v>59</v>
      </c>
      <c r="C5" s="14"/>
      <c r="D5" s="25">
        <v>48.33</v>
      </c>
      <c r="E5" s="24"/>
      <c r="F5" s="24"/>
      <c r="G5" s="15">
        <f>4/12</f>
        <v>0.33</v>
      </c>
      <c r="H5" s="14"/>
      <c r="I5" s="16">
        <v>23</v>
      </c>
      <c r="J5" s="14"/>
    </row>
    <row r="6" spans="1:10" s="34" customFormat="1" ht="23.25" customHeight="1">
      <c r="A6" s="13" t="s">
        <v>40</v>
      </c>
      <c r="B6" s="64" t="s">
        <v>60</v>
      </c>
      <c r="C6" s="14"/>
      <c r="D6" s="25">
        <v>29.43</v>
      </c>
      <c r="E6" s="24"/>
      <c r="F6" s="24"/>
      <c r="G6" s="25">
        <f>7*3*52/12</f>
        <v>91</v>
      </c>
      <c r="H6" s="14"/>
      <c r="I6" s="16">
        <v>23</v>
      </c>
      <c r="J6" s="14"/>
    </row>
    <row r="7" spans="1:10" s="34" customFormat="1" ht="24.75" customHeight="1">
      <c r="A7" s="13" t="s">
        <v>42</v>
      </c>
      <c r="B7" s="64" t="s">
        <v>102</v>
      </c>
      <c r="C7" s="14"/>
      <c r="D7" s="25">
        <v>1282.65</v>
      </c>
      <c r="E7" s="24"/>
      <c r="F7" s="24"/>
      <c r="G7" s="25">
        <f>5*52/12</f>
        <v>21.67</v>
      </c>
      <c r="H7" s="14"/>
      <c r="I7" s="16">
        <v>23</v>
      </c>
      <c r="J7" s="14"/>
    </row>
    <row r="8" spans="1:10" s="34" customFormat="1" ht="22.5" customHeight="1">
      <c r="A8" s="13" t="s">
        <v>44</v>
      </c>
      <c r="B8" s="64" t="s">
        <v>72</v>
      </c>
      <c r="C8" s="14"/>
      <c r="D8" s="24"/>
      <c r="E8" s="25">
        <v>2</v>
      </c>
      <c r="F8" s="24"/>
      <c r="G8" s="15">
        <f>7*52/12</f>
        <v>30.33</v>
      </c>
      <c r="H8" s="14"/>
      <c r="I8" s="16">
        <v>23</v>
      </c>
      <c r="J8" s="14"/>
    </row>
    <row r="9" spans="1:10" s="34" customFormat="1" ht="14.25" customHeight="1">
      <c r="A9" s="13" t="s">
        <v>46</v>
      </c>
      <c r="B9" s="64" t="s">
        <v>74</v>
      </c>
      <c r="C9" s="14"/>
      <c r="D9" s="24"/>
      <c r="E9" s="25">
        <v>2</v>
      </c>
      <c r="F9" s="24"/>
      <c r="G9" s="14">
        <v>1</v>
      </c>
      <c r="H9" s="14"/>
      <c r="I9" s="16">
        <v>23</v>
      </c>
      <c r="J9" s="14"/>
    </row>
    <row r="10" spans="1:10" s="34" customFormat="1" ht="25.5">
      <c r="A10" s="13" t="s">
        <v>48</v>
      </c>
      <c r="B10" s="64" t="s">
        <v>103</v>
      </c>
      <c r="C10" s="14"/>
      <c r="D10" s="24"/>
      <c r="E10" s="25">
        <v>5</v>
      </c>
      <c r="F10" s="24"/>
      <c r="G10" s="25">
        <f>7*52/12</f>
        <v>30.33</v>
      </c>
      <c r="H10" s="14"/>
      <c r="I10" s="16">
        <v>23</v>
      </c>
      <c r="J10" s="14"/>
    </row>
    <row r="11" spans="1:10" s="34" customFormat="1" ht="37.5" customHeight="1">
      <c r="A11" s="13" t="s">
        <v>50</v>
      </c>
      <c r="B11" s="65" t="s">
        <v>104</v>
      </c>
      <c r="C11" s="14"/>
      <c r="D11" s="24"/>
      <c r="E11" s="24"/>
      <c r="F11" s="25">
        <v>1</v>
      </c>
      <c r="G11" s="15">
        <v>1</v>
      </c>
      <c r="H11" s="14"/>
      <c r="I11" s="16">
        <v>23</v>
      </c>
      <c r="J11" s="14"/>
    </row>
    <row r="12" spans="1:10" s="34" customFormat="1" ht="15" customHeight="1">
      <c r="A12" s="13" t="s">
        <v>52</v>
      </c>
      <c r="B12" s="63" t="s">
        <v>105</v>
      </c>
      <c r="C12" s="14"/>
      <c r="D12" s="24"/>
      <c r="E12" s="25">
        <v>7</v>
      </c>
      <c r="F12" s="24"/>
      <c r="G12" s="28">
        <f>1/12</f>
        <v>0.08</v>
      </c>
      <c r="H12" s="14"/>
      <c r="I12" s="16">
        <v>8</v>
      </c>
      <c r="J12" s="14"/>
    </row>
    <row r="13" spans="1:10" s="34" customFormat="1" ht="15" customHeight="1">
      <c r="A13" s="13" t="s">
        <v>73</v>
      </c>
      <c r="B13" s="64" t="s">
        <v>106</v>
      </c>
      <c r="C13" s="14"/>
      <c r="D13" s="24"/>
      <c r="E13" s="25">
        <v>7</v>
      </c>
      <c r="F13" s="24"/>
      <c r="G13" s="28">
        <f>2/12</f>
        <v>0.17</v>
      </c>
      <c r="H13" s="14"/>
      <c r="I13" s="16">
        <v>8</v>
      </c>
      <c r="J13" s="14"/>
    </row>
    <row r="14" spans="1:10" s="34" customFormat="1" ht="25.5">
      <c r="A14" s="13" t="s">
        <v>75</v>
      </c>
      <c r="B14" s="64" t="s">
        <v>107</v>
      </c>
      <c r="C14" s="14"/>
      <c r="D14" s="66">
        <f>263.3+341.25</f>
        <v>604.55</v>
      </c>
      <c r="E14" s="24"/>
      <c r="F14" s="24"/>
      <c r="G14" s="14">
        <f>60/12</f>
        <v>5</v>
      </c>
      <c r="H14" s="14"/>
      <c r="I14" s="16">
        <v>8</v>
      </c>
      <c r="J14" s="14"/>
    </row>
    <row r="15" spans="1:10" s="34" customFormat="1" ht="25.5">
      <c r="A15" s="13" t="s">
        <v>77</v>
      </c>
      <c r="B15" s="64" t="s">
        <v>108</v>
      </c>
      <c r="C15" s="14"/>
      <c r="D15" s="66">
        <f>263.3+341.25</f>
        <v>604.55</v>
      </c>
      <c r="E15" s="24"/>
      <c r="F15" s="24"/>
      <c r="G15" s="14">
        <f>45/12</f>
        <v>3.75</v>
      </c>
      <c r="H15" s="14"/>
      <c r="I15" s="16">
        <v>8</v>
      </c>
      <c r="J15" s="14"/>
    </row>
    <row r="16" spans="1:10" s="34" customFormat="1" ht="15" customHeight="1">
      <c r="A16" s="13" t="s">
        <v>79</v>
      </c>
      <c r="B16" s="63" t="s">
        <v>109</v>
      </c>
      <c r="C16" s="14"/>
      <c r="D16" s="24"/>
      <c r="E16" s="25">
        <v>95</v>
      </c>
      <c r="F16" s="24"/>
      <c r="G16" s="14">
        <v>1</v>
      </c>
      <c r="H16" s="14"/>
      <c r="I16" s="16">
        <v>23</v>
      </c>
      <c r="J16" s="14"/>
    </row>
    <row r="17" spans="1:10" s="34" customFormat="1" ht="39" thickBot="1">
      <c r="A17" s="13" t="s">
        <v>80</v>
      </c>
      <c r="B17" s="65" t="s">
        <v>110</v>
      </c>
      <c r="C17" s="14"/>
      <c r="D17" s="25">
        <f>341.25+156.95</f>
        <v>498.2</v>
      </c>
      <c r="E17" s="24"/>
      <c r="F17" s="24"/>
      <c r="G17" s="15">
        <f>52/12</f>
        <v>4.33</v>
      </c>
      <c r="H17" s="14"/>
      <c r="I17" s="16">
        <v>8</v>
      </c>
      <c r="J17" s="117"/>
    </row>
    <row r="18" spans="1:10" s="34" customFormat="1" ht="13.5" thickBot="1">
      <c r="A18" s="29"/>
      <c r="B18" s="41" t="s">
        <v>63</v>
      </c>
      <c r="C18" s="20" t="s">
        <v>54</v>
      </c>
      <c r="D18" s="20" t="s">
        <v>54</v>
      </c>
      <c r="E18" s="20" t="s">
        <v>54</v>
      </c>
      <c r="F18" s="20" t="s">
        <v>54</v>
      </c>
      <c r="G18" s="20" t="s">
        <v>54</v>
      </c>
      <c r="H18" s="20" t="s">
        <v>54</v>
      </c>
      <c r="I18" s="116" t="s">
        <v>54</v>
      </c>
      <c r="J18" s="105"/>
    </row>
    <row r="19" spans="3:10" s="34" customFormat="1" ht="12.75">
      <c r="C19" s="42"/>
      <c r="D19" s="42"/>
      <c r="E19" s="42"/>
      <c r="F19" s="42"/>
      <c r="G19" s="42"/>
      <c r="H19" s="42"/>
      <c r="I19" s="22"/>
      <c r="J19" s="18"/>
    </row>
    <row r="20" spans="3:10" s="34" customFormat="1" ht="12.75">
      <c r="C20" s="42"/>
      <c r="D20" s="42"/>
      <c r="E20" s="42"/>
      <c r="F20" s="42"/>
      <c r="G20" s="42"/>
      <c r="H20" s="42"/>
      <c r="I20" s="22"/>
      <c r="J20" s="18"/>
    </row>
    <row r="21" spans="3:9" s="34" customFormat="1" ht="12.75">
      <c r="C21" s="42"/>
      <c r="D21" s="42"/>
      <c r="E21" s="42"/>
      <c r="F21" s="42"/>
      <c r="G21" s="42"/>
      <c r="H21" s="42"/>
      <c r="I21" s="44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1406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5.00390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111</v>
      </c>
      <c r="C1" s="9"/>
      <c r="D1" s="134" t="s">
        <v>21</v>
      </c>
      <c r="E1" s="134"/>
      <c r="F1" s="134"/>
      <c r="G1" s="9"/>
      <c r="H1" s="7"/>
      <c r="I1" s="7"/>
      <c r="J1" s="7"/>
    </row>
    <row r="2" spans="1:10" s="34" customFormat="1" ht="52.5" customHeight="1">
      <c r="A2" s="12" t="s">
        <v>233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29" t="s">
        <v>29</v>
      </c>
      <c r="J2" s="17" t="s">
        <v>2</v>
      </c>
    </row>
    <row r="3" spans="1:10" s="44" customFormat="1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s="34" customFormat="1" ht="26.25" customHeight="1">
      <c r="A4" s="135" t="s">
        <v>82</v>
      </c>
      <c r="B4" s="136" t="s">
        <v>112</v>
      </c>
      <c r="C4" s="14"/>
      <c r="D4" s="15">
        <f>6916.8</f>
        <v>6916.8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s="34" customFormat="1" ht="17.25" customHeight="1">
      <c r="A5" s="135"/>
      <c r="B5" s="136"/>
      <c r="C5" s="14"/>
      <c r="D5" s="15">
        <f>510+394.5+522</f>
        <v>1426.5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s="34" customFormat="1" ht="23.25" customHeight="1">
      <c r="A6" s="135"/>
      <c r="B6" s="136"/>
      <c r="C6" s="14"/>
      <c r="D6" s="15">
        <v>82.8</v>
      </c>
      <c r="E6" s="24"/>
      <c r="F6" s="24"/>
      <c r="G6" s="15">
        <f>(6*52)/12</f>
        <v>26</v>
      </c>
      <c r="H6" s="14"/>
      <c r="I6" s="16">
        <v>23</v>
      </c>
      <c r="J6" s="14"/>
    </row>
    <row r="7" spans="1:10" s="34" customFormat="1" ht="24.75" customHeight="1">
      <c r="A7" s="135" t="s">
        <v>38</v>
      </c>
      <c r="B7" s="136" t="s">
        <v>113</v>
      </c>
      <c r="C7" s="14"/>
      <c r="D7" s="15">
        <f>6916.8+82.8</f>
        <v>6999.6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s="34" customFormat="1" ht="22.5" customHeight="1">
      <c r="A8" s="135"/>
      <c r="B8" s="136"/>
      <c r="C8" s="14"/>
      <c r="D8" s="15">
        <f>510+394.5</f>
        <v>904.5</v>
      </c>
      <c r="E8" s="24"/>
      <c r="F8" s="24"/>
      <c r="G8" s="14">
        <f>60/12</f>
        <v>5</v>
      </c>
      <c r="H8" s="14"/>
      <c r="I8" s="16">
        <v>8</v>
      </c>
      <c r="J8" s="28"/>
    </row>
    <row r="9" spans="1:10" s="34" customFormat="1" ht="36.75" customHeight="1">
      <c r="A9" s="13" t="s">
        <v>40</v>
      </c>
      <c r="B9" s="23" t="s">
        <v>114</v>
      </c>
      <c r="C9" s="14"/>
      <c r="D9" s="15">
        <f>D8</f>
        <v>904.5</v>
      </c>
      <c r="E9" s="24"/>
      <c r="F9" s="24"/>
      <c r="G9" s="14">
        <f>45/12</f>
        <v>3.75</v>
      </c>
      <c r="H9" s="14"/>
      <c r="I9" s="16">
        <v>8</v>
      </c>
      <c r="J9" s="14"/>
    </row>
    <row r="10" spans="1:10" s="34" customFormat="1" ht="17.25" customHeight="1">
      <c r="A10" s="13" t="s">
        <v>42</v>
      </c>
      <c r="B10" s="37" t="s">
        <v>115</v>
      </c>
      <c r="C10" s="14"/>
      <c r="D10" s="15">
        <v>2764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s="34" customFormat="1" ht="47.25" customHeight="1">
      <c r="A11" s="13" t="s">
        <v>44</v>
      </c>
      <c r="B11" s="37" t="s">
        <v>116</v>
      </c>
      <c r="C11" s="14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s="34" customFormat="1" ht="15" customHeight="1">
      <c r="A12" s="13" t="s">
        <v>46</v>
      </c>
      <c r="B12" s="23" t="s">
        <v>45</v>
      </c>
      <c r="C12" s="14"/>
      <c r="D12" s="25">
        <v>6916.8</v>
      </c>
      <c r="E12" s="24"/>
      <c r="F12" s="24"/>
      <c r="G12" s="14">
        <v>1</v>
      </c>
      <c r="H12" s="14"/>
      <c r="I12" s="16">
        <v>23</v>
      </c>
      <c r="J12" s="14"/>
    </row>
    <row r="13" spans="1:10" s="34" customFormat="1" ht="15" customHeight="1">
      <c r="A13" s="13" t="s">
        <v>48</v>
      </c>
      <c r="B13" s="23" t="s">
        <v>47</v>
      </c>
      <c r="C13" s="14"/>
      <c r="D13" s="24"/>
      <c r="E13" s="25">
        <v>350</v>
      </c>
      <c r="F13" s="24"/>
      <c r="G13" s="15">
        <v>1</v>
      </c>
      <c r="H13" s="14"/>
      <c r="I13" s="16">
        <v>23</v>
      </c>
      <c r="J13" s="14"/>
    </row>
    <row r="14" spans="1:10" s="34" customFormat="1" ht="25.5">
      <c r="A14" s="13" t="s">
        <v>50</v>
      </c>
      <c r="B14" s="47" t="s">
        <v>72</v>
      </c>
      <c r="C14" s="14"/>
      <c r="D14" s="24"/>
      <c r="E14" s="15">
        <v>15</v>
      </c>
      <c r="F14" s="24"/>
      <c r="G14" s="15">
        <f>(6*52)/12</f>
        <v>26</v>
      </c>
      <c r="H14" s="14"/>
      <c r="I14" s="16">
        <v>23</v>
      </c>
      <c r="J14" s="14"/>
    </row>
    <row r="15" spans="1:10" s="34" customFormat="1" ht="12.75">
      <c r="A15" s="13" t="s">
        <v>52</v>
      </c>
      <c r="B15" s="37" t="s">
        <v>74</v>
      </c>
      <c r="C15" s="14"/>
      <c r="D15" s="24"/>
      <c r="E15" s="25">
        <v>15</v>
      </c>
      <c r="F15" s="24"/>
      <c r="G15" s="15">
        <v>1</v>
      </c>
      <c r="H15" s="14"/>
      <c r="I15" s="16">
        <v>23</v>
      </c>
      <c r="J15" s="14"/>
    </row>
    <row r="16" spans="1:10" s="34" customFormat="1" ht="23.25" customHeight="1">
      <c r="A16" s="13" t="s">
        <v>73</v>
      </c>
      <c r="B16" s="47" t="s">
        <v>88</v>
      </c>
      <c r="C16" s="14"/>
      <c r="D16" s="25">
        <v>24.1</v>
      </c>
      <c r="E16" s="24"/>
      <c r="F16" s="24"/>
      <c r="G16" s="15">
        <f>(6*52)/12</f>
        <v>26</v>
      </c>
      <c r="H16" s="14"/>
      <c r="I16" s="16">
        <v>23</v>
      </c>
      <c r="J16" s="14"/>
    </row>
    <row r="17" spans="1:10" s="34" customFormat="1" ht="12.75">
      <c r="A17" s="13" t="s">
        <v>75</v>
      </c>
      <c r="B17" s="37" t="s">
        <v>59</v>
      </c>
      <c r="C17" s="14"/>
      <c r="D17" s="25">
        <v>11.7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s="34" customFormat="1" ht="15.75" customHeight="1" thickBot="1">
      <c r="A18" s="13" t="s">
        <v>77</v>
      </c>
      <c r="B18" s="37" t="s">
        <v>76</v>
      </c>
      <c r="C18" s="14"/>
      <c r="D18" s="24"/>
      <c r="E18" s="24"/>
      <c r="F18" s="25">
        <v>1</v>
      </c>
      <c r="G18" s="15">
        <v>1</v>
      </c>
      <c r="H18" s="14"/>
      <c r="I18" s="16">
        <v>23</v>
      </c>
      <c r="J18" s="117"/>
    </row>
    <row r="19" spans="1:10" s="34" customFormat="1" ht="13.5" thickBot="1">
      <c r="A19" s="7"/>
      <c r="B19" s="67" t="s">
        <v>63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18" t="s">
        <v>54</v>
      </c>
      <c r="J19" s="119"/>
    </row>
    <row r="20" spans="3:9" s="34" customFormat="1" ht="12.75">
      <c r="C20" s="42"/>
      <c r="D20" s="42"/>
      <c r="E20" s="42"/>
      <c r="F20" s="42"/>
      <c r="G20" s="42"/>
      <c r="H20" s="42"/>
      <c r="I20" s="44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204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ht="63.75">
      <c r="A2" s="12" t="s">
        <v>234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1" t="s">
        <v>194</v>
      </c>
      <c r="C4" s="153"/>
      <c r="D4" s="154">
        <v>522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44"/>
      <c r="B5" s="152"/>
      <c r="C5" s="153"/>
      <c r="D5" s="153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196</v>
      </c>
      <c r="C6" s="106"/>
      <c r="D6" s="109"/>
      <c r="E6" s="106">
        <v>13</v>
      </c>
      <c r="F6" s="109"/>
      <c r="G6" s="110">
        <v>1</v>
      </c>
      <c r="H6" s="106"/>
      <c r="I6" s="110">
        <v>8</v>
      </c>
      <c r="J6" s="106"/>
    </row>
    <row r="7" spans="1:10" ht="13.5" thickBot="1">
      <c r="A7" s="13" t="s">
        <v>40</v>
      </c>
      <c r="B7" s="94" t="s">
        <v>200</v>
      </c>
      <c r="C7" s="106"/>
      <c r="D7" s="107">
        <v>520</v>
      </c>
      <c r="E7" s="109"/>
      <c r="F7" s="109"/>
      <c r="G7" s="110">
        <v>1</v>
      </c>
      <c r="H7" s="106"/>
      <c r="I7" s="110">
        <v>8</v>
      </c>
      <c r="J7" s="108"/>
    </row>
    <row r="8" spans="1:10" ht="13.5" thickBot="1">
      <c r="A8" s="26"/>
      <c r="B8" s="41" t="s">
        <v>63</v>
      </c>
      <c r="C8" s="100" t="s">
        <v>54</v>
      </c>
      <c r="D8" s="101" t="s">
        <v>54</v>
      </c>
      <c r="E8" s="101" t="s">
        <v>54</v>
      </c>
      <c r="F8" s="101" t="s">
        <v>54</v>
      </c>
      <c r="G8" s="101" t="s">
        <v>54</v>
      </c>
      <c r="H8" s="100" t="s">
        <v>54</v>
      </c>
      <c r="I8" s="104" t="s">
        <v>54</v>
      </c>
      <c r="J8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281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574218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s="34" customFormat="1" ht="12.75">
      <c r="A1" s="7"/>
      <c r="B1" s="7" t="s">
        <v>117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40.5" customHeight="1">
      <c r="A2" s="12" t="s">
        <v>235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5" t="s">
        <v>28</v>
      </c>
      <c r="I2" s="16" t="s">
        <v>29</v>
      </c>
      <c r="J2" s="17" t="s">
        <v>2</v>
      </c>
    </row>
    <row r="3" spans="1:10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20" t="s">
        <v>30</v>
      </c>
      <c r="I3" s="16" t="s">
        <v>35</v>
      </c>
      <c r="J3" s="16" t="s">
        <v>30</v>
      </c>
    </row>
    <row r="4" spans="1:10" ht="63.75">
      <c r="A4" s="13" t="s">
        <v>82</v>
      </c>
      <c r="B4" s="23" t="s">
        <v>118</v>
      </c>
      <c r="C4" s="14"/>
      <c r="D4" s="15">
        <f>3650+500+960</f>
        <v>5110</v>
      </c>
      <c r="E4" s="24"/>
      <c r="F4" s="24"/>
      <c r="G4" s="25">
        <f>12/12</f>
        <v>1</v>
      </c>
      <c r="H4" s="14"/>
      <c r="I4" s="16">
        <v>8</v>
      </c>
      <c r="J4" s="28"/>
    </row>
    <row r="5" spans="1:10" ht="38.25">
      <c r="A5" s="13" t="s">
        <v>38</v>
      </c>
      <c r="B5" s="45" t="s">
        <v>113</v>
      </c>
      <c r="C5" s="14"/>
      <c r="D5" s="15">
        <f>3650+960</f>
        <v>4610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3" t="s">
        <v>40</v>
      </c>
      <c r="B6" s="23" t="s">
        <v>114</v>
      </c>
      <c r="C6" s="14"/>
      <c r="D6" s="15">
        <f>3650+960</f>
        <v>4610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3" t="s">
        <v>42</v>
      </c>
      <c r="B7" s="37" t="s">
        <v>119</v>
      </c>
      <c r="C7" s="14"/>
      <c r="D7" s="15">
        <v>105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3" t="s">
        <v>44</v>
      </c>
      <c r="B8" s="37" t="s">
        <v>120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3" t="s">
        <v>46</v>
      </c>
      <c r="B9" s="23" t="s">
        <v>47</v>
      </c>
      <c r="C9" s="14"/>
      <c r="D9" s="24"/>
      <c r="E9" s="25">
        <v>113</v>
      </c>
      <c r="F9" s="24"/>
      <c r="G9" s="14">
        <v>1</v>
      </c>
      <c r="H9" s="14"/>
      <c r="I9" s="16">
        <v>8</v>
      </c>
      <c r="J9" s="14"/>
    </row>
    <row r="10" spans="1:10" ht="25.5">
      <c r="A10" s="13" t="s">
        <v>48</v>
      </c>
      <c r="B10" s="23" t="s">
        <v>72</v>
      </c>
      <c r="C10" s="14"/>
      <c r="D10" s="24"/>
      <c r="E10" s="25">
        <v>8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3" t="s">
        <v>50</v>
      </c>
      <c r="B11" s="23" t="s">
        <v>74</v>
      </c>
      <c r="C11" s="14"/>
      <c r="D11" s="24"/>
      <c r="E11" s="15">
        <v>8</v>
      </c>
      <c r="F11" s="24"/>
      <c r="G11" s="15">
        <v>1</v>
      </c>
      <c r="H11" s="14"/>
      <c r="I11" s="16">
        <v>8</v>
      </c>
      <c r="J11" s="14"/>
    </row>
    <row r="12" spans="1:10" ht="38.25">
      <c r="A12" s="13" t="s">
        <v>52</v>
      </c>
      <c r="B12" s="37" t="s">
        <v>121</v>
      </c>
      <c r="C12" s="14"/>
      <c r="D12" s="25">
        <v>40</v>
      </c>
      <c r="E12" s="24"/>
      <c r="F12" s="24"/>
      <c r="G12" s="15">
        <f>12/12</f>
        <v>1</v>
      </c>
      <c r="H12" s="14"/>
      <c r="I12" s="16">
        <v>23</v>
      </c>
      <c r="J12" s="14"/>
    </row>
    <row r="13" spans="1:10" ht="25.5">
      <c r="A13" s="13" t="s">
        <v>73</v>
      </c>
      <c r="B13" s="23" t="s">
        <v>89</v>
      </c>
      <c r="C13" s="14"/>
      <c r="D13" s="25">
        <v>38</v>
      </c>
      <c r="E13" s="24"/>
      <c r="F13" s="24"/>
      <c r="G13" s="25">
        <f>5*52/12</f>
        <v>21.67</v>
      </c>
      <c r="H13" s="14"/>
      <c r="I13" s="16">
        <v>23</v>
      </c>
      <c r="J13" s="14"/>
    </row>
    <row r="14" spans="1:10" ht="13.5" thickBot="1">
      <c r="A14" s="13" t="s">
        <v>75</v>
      </c>
      <c r="B14" s="23" t="s">
        <v>76</v>
      </c>
      <c r="C14" s="14"/>
      <c r="D14" s="24"/>
      <c r="E14" s="24"/>
      <c r="F14" s="15">
        <v>1</v>
      </c>
      <c r="G14" s="15">
        <v>1</v>
      </c>
      <c r="H14" s="14"/>
      <c r="I14" s="16">
        <v>8</v>
      </c>
      <c r="J14" s="117"/>
    </row>
    <row r="15" spans="1:10" ht="13.5" thickBot="1">
      <c r="A15" s="29"/>
      <c r="B15" s="41" t="s">
        <v>63</v>
      </c>
      <c r="C15" s="20" t="s">
        <v>54</v>
      </c>
      <c r="D15" s="20" t="s">
        <v>54</v>
      </c>
      <c r="E15" s="20" t="s">
        <v>54</v>
      </c>
      <c r="F15" s="20" t="s">
        <v>54</v>
      </c>
      <c r="G15" s="20" t="s">
        <v>54</v>
      </c>
      <c r="H15" s="20" t="s">
        <v>54</v>
      </c>
      <c r="I15" s="116" t="s">
        <v>54</v>
      </c>
      <c r="J15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203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ht="63.75">
      <c r="A2" s="12" t="s">
        <v>236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1" t="s">
        <v>194</v>
      </c>
      <c r="C4" s="153"/>
      <c r="D4" s="154">
        <v>500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44"/>
      <c r="B5" s="152"/>
      <c r="C5" s="153"/>
      <c r="D5" s="153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5" t="s">
        <v>197</v>
      </c>
      <c r="C6" s="106"/>
      <c r="D6" s="109"/>
      <c r="E6" s="106">
        <v>6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6" t="s">
        <v>199</v>
      </c>
      <c r="C7" s="106"/>
      <c r="D7" s="107">
        <v>960</v>
      </c>
      <c r="E7" s="109"/>
      <c r="F7" s="109"/>
      <c r="G7" s="110">
        <v>0.5</v>
      </c>
      <c r="H7" s="106"/>
      <c r="I7" s="110">
        <v>8</v>
      </c>
      <c r="J7" s="106"/>
    </row>
    <row r="8" spans="1:10" ht="13.5" thickBot="1">
      <c r="A8" s="13" t="s">
        <v>42</v>
      </c>
      <c r="B8" s="94" t="s">
        <v>200</v>
      </c>
      <c r="C8" s="106"/>
      <c r="D8" s="107">
        <v>500</v>
      </c>
      <c r="E8" s="109"/>
      <c r="F8" s="109"/>
      <c r="G8" s="110">
        <v>1</v>
      </c>
      <c r="H8" s="106"/>
      <c r="I8" s="110">
        <v>8</v>
      </c>
      <c r="J8" s="108"/>
    </row>
    <row r="9" spans="1:10" ht="13.5" thickBot="1">
      <c r="A9" s="26"/>
      <c r="B9" s="41" t="s">
        <v>63</v>
      </c>
      <c r="C9" s="100" t="s">
        <v>54</v>
      </c>
      <c r="D9" s="101" t="s">
        <v>54</v>
      </c>
      <c r="E9" s="101" t="s">
        <v>54</v>
      </c>
      <c r="F9" s="101" t="s">
        <v>54</v>
      </c>
      <c r="G9" s="101" t="s">
        <v>54</v>
      </c>
      <c r="H9" s="100" t="s">
        <v>54</v>
      </c>
      <c r="I9" s="104" t="s">
        <v>54</v>
      </c>
      <c r="J9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58" t="s">
        <v>122</v>
      </c>
      <c r="C1" s="7"/>
      <c r="D1" s="137" t="s">
        <v>21</v>
      </c>
      <c r="E1" s="137"/>
      <c r="F1" s="137"/>
      <c r="G1" s="9"/>
      <c r="H1" s="7"/>
      <c r="I1" s="10"/>
      <c r="J1" s="7"/>
    </row>
    <row r="2" spans="1:10" ht="61.5" customHeight="1">
      <c r="A2" s="12" t="s">
        <v>237</v>
      </c>
      <c r="B2" s="17" t="s">
        <v>22</v>
      </c>
      <c r="C2" s="61" t="s">
        <v>23</v>
      </c>
      <c r="D2" s="17" t="s">
        <v>24</v>
      </c>
      <c r="E2" s="17" t="s">
        <v>25</v>
      </c>
      <c r="F2" s="17" t="s">
        <v>26</v>
      </c>
      <c r="G2" s="14" t="s">
        <v>27</v>
      </c>
      <c r="H2" s="29" t="s">
        <v>28</v>
      </c>
      <c r="I2" s="19" t="s">
        <v>29</v>
      </c>
      <c r="J2" s="17" t="s">
        <v>2</v>
      </c>
    </row>
    <row r="3" spans="1:10" ht="25.5">
      <c r="A3" s="16"/>
      <c r="B3" s="12"/>
      <c r="C3" s="12" t="s">
        <v>30</v>
      </c>
      <c r="D3" s="16" t="s">
        <v>31</v>
      </c>
      <c r="E3" s="16" t="s">
        <v>32</v>
      </c>
      <c r="F3" s="16" t="s">
        <v>33</v>
      </c>
      <c r="G3" s="21" t="s">
        <v>34</v>
      </c>
      <c r="H3" s="16" t="s">
        <v>30</v>
      </c>
      <c r="I3" s="20" t="s">
        <v>35</v>
      </c>
      <c r="J3" s="12" t="s">
        <v>30</v>
      </c>
    </row>
    <row r="4" spans="1:10" ht="38.25">
      <c r="A4" s="16" t="s">
        <v>82</v>
      </c>
      <c r="B4" s="23" t="s">
        <v>123</v>
      </c>
      <c r="C4" s="14"/>
      <c r="D4" s="66">
        <f>2803.6+3381.8+808.2</f>
        <v>6993.6</v>
      </c>
      <c r="E4" s="68"/>
      <c r="F4" s="68"/>
      <c r="G4" s="25">
        <f>26/12</f>
        <v>2.17</v>
      </c>
      <c r="H4" s="14"/>
      <c r="I4" s="69">
        <v>23</v>
      </c>
      <c r="J4" s="28"/>
    </row>
    <row r="5" spans="1:10" ht="38.25">
      <c r="A5" s="16" t="s">
        <v>38</v>
      </c>
      <c r="B5" s="23" t="s">
        <v>124</v>
      </c>
      <c r="C5" s="14"/>
      <c r="D5" s="66">
        <f>2803.6+3381.8+808.2</f>
        <v>6993.6</v>
      </c>
      <c r="E5" s="68"/>
      <c r="F5" s="68"/>
      <c r="G5" s="14">
        <f>60/12</f>
        <v>5</v>
      </c>
      <c r="H5" s="14"/>
      <c r="I5" s="70">
        <v>23</v>
      </c>
      <c r="J5" s="28"/>
    </row>
    <row r="6" spans="1:10" ht="38.25">
      <c r="A6" s="54" t="s">
        <v>40</v>
      </c>
      <c r="B6" s="71" t="s">
        <v>125</v>
      </c>
      <c r="C6" s="28"/>
      <c r="D6" s="72">
        <f>808.2+3381.8</f>
        <v>4190</v>
      </c>
      <c r="E6" s="68"/>
      <c r="F6" s="68"/>
      <c r="G6" s="14">
        <f>45/12</f>
        <v>3.75</v>
      </c>
      <c r="H6" s="14"/>
      <c r="I6" s="73">
        <v>23</v>
      </c>
      <c r="J6" s="28"/>
    </row>
    <row r="7" spans="1:10" ht="51">
      <c r="A7" s="54" t="s">
        <v>42</v>
      </c>
      <c r="B7" s="74" t="s">
        <v>126</v>
      </c>
      <c r="C7" s="28"/>
      <c r="D7" s="75"/>
      <c r="E7" s="36"/>
      <c r="F7" s="25">
        <v>1</v>
      </c>
      <c r="G7" s="14">
        <v>1</v>
      </c>
      <c r="H7" s="14"/>
      <c r="I7" s="73">
        <v>8</v>
      </c>
      <c r="J7" s="28"/>
    </row>
    <row r="8" spans="1:10" ht="12.75">
      <c r="A8" s="54" t="s">
        <v>44</v>
      </c>
      <c r="B8" s="71" t="s">
        <v>47</v>
      </c>
      <c r="C8" s="28"/>
      <c r="D8" s="75"/>
      <c r="E8" s="25">
        <v>83</v>
      </c>
      <c r="F8" s="68"/>
      <c r="G8" s="28">
        <v>1</v>
      </c>
      <c r="H8" s="14"/>
      <c r="I8" s="73">
        <v>23</v>
      </c>
      <c r="J8" s="14"/>
    </row>
    <row r="9" spans="1:10" ht="25.5">
      <c r="A9" s="16" t="s">
        <v>46</v>
      </c>
      <c r="B9" s="37" t="s">
        <v>72</v>
      </c>
      <c r="C9" s="14"/>
      <c r="D9" s="75"/>
      <c r="E9" s="25">
        <v>6</v>
      </c>
      <c r="F9" s="68"/>
      <c r="G9" s="15">
        <f>(5*52)/12</f>
        <v>21.67</v>
      </c>
      <c r="H9" s="14"/>
      <c r="I9" s="69">
        <v>23</v>
      </c>
      <c r="J9" s="14"/>
    </row>
    <row r="10" spans="1:10" ht="12.75">
      <c r="A10" s="16" t="s">
        <v>48</v>
      </c>
      <c r="B10" s="37" t="s">
        <v>74</v>
      </c>
      <c r="C10" s="14"/>
      <c r="D10" s="75"/>
      <c r="E10" s="25">
        <v>6</v>
      </c>
      <c r="F10" s="24"/>
      <c r="G10" s="14">
        <v>1</v>
      </c>
      <c r="H10" s="14"/>
      <c r="I10" s="69">
        <v>23</v>
      </c>
      <c r="J10" s="14"/>
    </row>
    <row r="11" spans="1:10" ht="13.5" thickBot="1">
      <c r="A11" s="16" t="s">
        <v>50</v>
      </c>
      <c r="B11" s="37" t="s">
        <v>127</v>
      </c>
      <c r="C11" s="14"/>
      <c r="D11" s="75"/>
      <c r="E11" s="68"/>
      <c r="F11" s="25">
        <v>1</v>
      </c>
      <c r="G11" s="14">
        <v>1</v>
      </c>
      <c r="H11" s="14"/>
      <c r="I11" s="69">
        <v>23</v>
      </c>
      <c r="J11" s="117"/>
    </row>
    <row r="12" spans="1:10" ht="13.5" thickBot="1">
      <c r="A12" s="17"/>
      <c r="B12" s="41" t="s">
        <v>63</v>
      </c>
      <c r="C12" s="16" t="s">
        <v>54</v>
      </c>
      <c r="D12" s="16" t="s">
        <v>54</v>
      </c>
      <c r="E12" s="16" t="s">
        <v>54</v>
      </c>
      <c r="F12" s="16" t="s">
        <v>54</v>
      </c>
      <c r="G12" s="20" t="s">
        <v>54</v>
      </c>
      <c r="H12" s="20" t="s">
        <v>54</v>
      </c>
      <c r="I12" s="120" t="s">
        <v>54</v>
      </c>
      <c r="J12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31" customWidth="1"/>
    <col min="2" max="2" width="52.14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128</v>
      </c>
      <c r="C1" s="7"/>
      <c r="D1" s="134" t="s">
        <v>21</v>
      </c>
      <c r="E1" s="134"/>
      <c r="F1" s="134"/>
      <c r="G1" s="9"/>
      <c r="H1" s="7"/>
      <c r="I1" s="7"/>
      <c r="J1" s="7"/>
    </row>
    <row r="2" spans="1:10" ht="37.5" customHeight="1">
      <c r="A2" s="12" t="s">
        <v>238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29" t="s">
        <v>29</v>
      </c>
      <c r="J2" s="17" t="s">
        <v>2</v>
      </c>
    </row>
    <row r="3" spans="1:10" ht="25.5">
      <c r="A3" s="13"/>
      <c r="B3" s="13"/>
      <c r="C3" s="12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ht="18.75" customHeight="1">
      <c r="A4" s="135" t="s">
        <v>82</v>
      </c>
      <c r="B4" s="136" t="s">
        <v>129</v>
      </c>
      <c r="C4" s="38"/>
      <c r="D4" s="25">
        <f>15889.25</f>
        <v>15889.25</v>
      </c>
      <c r="E4" s="24"/>
      <c r="F4" s="24"/>
      <c r="G4" s="25">
        <f>26/12</f>
        <v>2.17</v>
      </c>
      <c r="H4" s="14"/>
      <c r="I4" s="16">
        <v>23</v>
      </c>
      <c r="J4" s="28"/>
    </row>
    <row r="5" spans="1:10" ht="21.75" customHeight="1">
      <c r="A5" s="135"/>
      <c r="B5" s="136"/>
      <c r="C5" s="38"/>
      <c r="D5" s="25">
        <f>5200+1000</f>
        <v>6200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ht="18" customHeight="1">
      <c r="A6" s="135"/>
      <c r="B6" s="136"/>
      <c r="C6" s="38"/>
      <c r="D6" s="25">
        <v>565.38</v>
      </c>
      <c r="E6" s="24"/>
      <c r="F6" s="24"/>
      <c r="G6" s="15">
        <f>(5*52)/12</f>
        <v>21.67</v>
      </c>
      <c r="H6" s="14"/>
      <c r="I6" s="16">
        <v>23</v>
      </c>
      <c r="J6" s="14"/>
    </row>
    <row r="7" spans="1:10" ht="18.75" customHeight="1">
      <c r="A7" s="135" t="s">
        <v>38</v>
      </c>
      <c r="B7" s="166" t="s">
        <v>130</v>
      </c>
      <c r="C7" s="38"/>
      <c r="D7" s="25">
        <f>15889.25+565.38</f>
        <v>16454.63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ht="18.75" customHeight="1">
      <c r="A8" s="135"/>
      <c r="B8" s="166"/>
      <c r="C8" s="38"/>
      <c r="D8" s="25">
        <f>5200</f>
        <v>5200</v>
      </c>
      <c r="E8" s="24"/>
      <c r="F8" s="24"/>
      <c r="G8" s="14">
        <f>60/12</f>
        <v>5</v>
      </c>
      <c r="H8" s="14"/>
      <c r="I8" s="16">
        <v>8</v>
      </c>
      <c r="J8" s="14"/>
    </row>
    <row r="9" spans="1:10" ht="38.25">
      <c r="A9" s="13" t="s">
        <v>40</v>
      </c>
      <c r="B9" s="23" t="s">
        <v>131</v>
      </c>
      <c r="C9" s="53"/>
      <c r="D9" s="25">
        <f>5200</f>
        <v>5200</v>
      </c>
      <c r="E9" s="24"/>
      <c r="F9" s="24"/>
      <c r="G9" s="14">
        <f>45/12</f>
        <v>3.75</v>
      </c>
      <c r="H9" s="28"/>
      <c r="I9" s="54">
        <v>8</v>
      </c>
      <c r="J9" s="14"/>
    </row>
    <row r="10" spans="1:10" ht="12.75">
      <c r="A10" s="13" t="s">
        <v>42</v>
      </c>
      <c r="B10" s="76" t="s">
        <v>132</v>
      </c>
      <c r="C10" s="38"/>
      <c r="D10" s="25">
        <v>6760</v>
      </c>
      <c r="E10" s="24"/>
      <c r="F10" s="24"/>
      <c r="G10" s="28">
        <f>1/12</f>
        <v>0.08</v>
      </c>
      <c r="H10" s="14"/>
      <c r="I10" s="16">
        <v>8</v>
      </c>
      <c r="J10" s="14"/>
    </row>
    <row r="11" spans="1:10" ht="51">
      <c r="A11" s="13" t="s">
        <v>44</v>
      </c>
      <c r="B11" s="64" t="s">
        <v>87</v>
      </c>
      <c r="C11" s="38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ht="12.75">
      <c r="A12" s="13" t="s">
        <v>46</v>
      </c>
      <c r="B12" s="76" t="s">
        <v>45</v>
      </c>
      <c r="C12" s="38"/>
      <c r="D12" s="25">
        <f>12764.91</f>
        <v>12764.91</v>
      </c>
      <c r="E12" s="24"/>
      <c r="F12" s="24"/>
      <c r="G12" s="14">
        <v>1</v>
      </c>
      <c r="H12" s="14"/>
      <c r="I12" s="16">
        <v>23</v>
      </c>
      <c r="J12" s="14"/>
    </row>
    <row r="13" spans="1:10" ht="12.75">
      <c r="A13" s="13" t="s">
        <v>48</v>
      </c>
      <c r="B13" s="76" t="s">
        <v>133</v>
      </c>
      <c r="C13" s="38"/>
      <c r="D13" s="24"/>
      <c r="E13" s="25">
        <v>219</v>
      </c>
      <c r="F13" s="24"/>
      <c r="G13" s="15">
        <v>1</v>
      </c>
      <c r="H13" s="14"/>
      <c r="I13" s="16">
        <v>23</v>
      </c>
      <c r="J13" s="14"/>
    </row>
    <row r="14" spans="1:10" ht="25.5">
      <c r="A14" s="16" t="s">
        <v>50</v>
      </c>
      <c r="B14" s="47" t="s">
        <v>72</v>
      </c>
      <c r="C14" s="38"/>
      <c r="D14" s="24"/>
      <c r="E14" s="25">
        <v>25</v>
      </c>
      <c r="F14" s="24"/>
      <c r="G14" s="15">
        <f>(5*52)/12</f>
        <v>21.67</v>
      </c>
      <c r="H14" s="14"/>
      <c r="I14" s="16">
        <v>23</v>
      </c>
      <c r="J14" s="14"/>
    </row>
    <row r="15" spans="1:10" ht="12.75">
      <c r="A15" s="13" t="s">
        <v>52</v>
      </c>
      <c r="B15" s="47" t="s">
        <v>74</v>
      </c>
      <c r="C15" s="38"/>
      <c r="D15" s="24"/>
      <c r="E15" s="25">
        <v>25</v>
      </c>
      <c r="F15" s="24"/>
      <c r="G15" s="15">
        <v>1</v>
      </c>
      <c r="H15" s="14"/>
      <c r="I15" s="16">
        <v>23</v>
      </c>
      <c r="J15" s="14"/>
    </row>
    <row r="16" spans="1:10" ht="25.5">
      <c r="A16" s="13" t="s">
        <v>73</v>
      </c>
      <c r="B16" s="45" t="s">
        <v>101</v>
      </c>
      <c r="C16" s="38"/>
      <c r="D16" s="25">
        <v>104.64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ht="12.75">
      <c r="A17" s="13" t="s">
        <v>75</v>
      </c>
      <c r="B17" s="45" t="s">
        <v>59</v>
      </c>
      <c r="C17" s="38"/>
      <c r="D17" s="25">
        <v>271.45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ht="25.5">
      <c r="A18" s="13" t="s">
        <v>77</v>
      </c>
      <c r="B18" s="47" t="s">
        <v>89</v>
      </c>
      <c r="C18" s="38"/>
      <c r="D18" s="25">
        <v>113.7</v>
      </c>
      <c r="E18" s="24"/>
      <c r="F18" s="24"/>
      <c r="G18" s="15">
        <f>7*2*52/12</f>
        <v>60.67</v>
      </c>
      <c r="H18" s="14"/>
      <c r="I18" s="16">
        <v>23</v>
      </c>
      <c r="J18" s="14"/>
    </row>
    <row r="19" spans="1:10" ht="12.75">
      <c r="A19" s="13" t="s">
        <v>79</v>
      </c>
      <c r="B19" s="47" t="s">
        <v>76</v>
      </c>
      <c r="C19" s="38"/>
      <c r="D19" s="24"/>
      <c r="E19" s="24"/>
      <c r="F19" s="25">
        <v>1</v>
      </c>
      <c r="G19" s="15">
        <v>1</v>
      </c>
      <c r="H19" s="14"/>
      <c r="I19" s="16">
        <v>23</v>
      </c>
      <c r="J19" s="14"/>
    </row>
    <row r="20" spans="1:10" ht="13.5" thickBot="1">
      <c r="A20" s="13" t="s">
        <v>80</v>
      </c>
      <c r="B20" s="47" t="s">
        <v>103</v>
      </c>
      <c r="C20" s="38"/>
      <c r="D20" s="24"/>
      <c r="E20" s="25">
        <v>2</v>
      </c>
      <c r="F20" s="24"/>
      <c r="G20" s="25">
        <f>7*52/12</f>
        <v>30.33</v>
      </c>
      <c r="H20" s="14"/>
      <c r="I20" s="16">
        <v>23</v>
      </c>
      <c r="J20" s="117"/>
    </row>
    <row r="21" spans="1:10" ht="13.5" thickBot="1">
      <c r="A21" s="7"/>
      <c r="B21" s="56" t="s">
        <v>63</v>
      </c>
      <c r="C21" s="11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18" t="s">
        <v>54</v>
      </c>
      <c r="J21" s="119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206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256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1000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1" t="s">
        <v>38</v>
      </c>
      <c r="B6" s="133" t="s">
        <v>196</v>
      </c>
      <c r="C6" s="132"/>
      <c r="D6" s="109"/>
      <c r="E6" s="106">
        <v>5</v>
      </c>
      <c r="F6" s="128"/>
      <c r="G6" s="129">
        <v>1</v>
      </c>
      <c r="H6" s="130"/>
      <c r="I6" s="129">
        <v>8</v>
      </c>
      <c r="J6" s="130"/>
    </row>
    <row r="7" spans="1:10" ht="12.75">
      <c r="A7" s="13" t="s">
        <v>40</v>
      </c>
      <c r="B7" s="95" t="s">
        <v>197</v>
      </c>
      <c r="C7" s="106"/>
      <c r="D7" s="109"/>
      <c r="E7" s="106">
        <v>46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6" t="s">
        <v>199</v>
      </c>
      <c r="C8" s="106"/>
      <c r="D8" s="107">
        <v>2500</v>
      </c>
      <c r="E8" s="109"/>
      <c r="F8" s="109"/>
      <c r="G8" s="110">
        <v>0.5</v>
      </c>
      <c r="H8" s="106"/>
      <c r="I8" s="110">
        <v>8</v>
      </c>
      <c r="J8" s="106"/>
    </row>
    <row r="9" spans="1:10" ht="13.5" thickBot="1">
      <c r="A9" s="13" t="s">
        <v>44</v>
      </c>
      <c r="B9" s="94" t="s">
        <v>200</v>
      </c>
      <c r="C9" s="106"/>
      <c r="D9" s="107">
        <v>1000</v>
      </c>
      <c r="E9" s="109"/>
      <c r="F9" s="109"/>
      <c r="G9" s="110">
        <v>1</v>
      </c>
      <c r="H9" s="106"/>
      <c r="I9" s="110">
        <v>8</v>
      </c>
      <c r="J9" s="108"/>
    </row>
    <row r="10" spans="1:10" ht="13.5" thickBot="1">
      <c r="A10" s="26"/>
      <c r="B10" s="41" t="s">
        <v>63</v>
      </c>
      <c r="C10" s="100" t="s">
        <v>54</v>
      </c>
      <c r="D10" s="101" t="s">
        <v>54</v>
      </c>
      <c r="E10" s="101" t="s">
        <v>54</v>
      </c>
      <c r="F10" s="101" t="s">
        <v>54</v>
      </c>
      <c r="G10" s="101" t="s">
        <v>54</v>
      </c>
      <c r="H10" s="100" t="s">
        <v>54</v>
      </c>
      <c r="I10" s="104" t="s">
        <v>54</v>
      </c>
      <c r="J10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4" sqref="B4:B6"/>
    </sheetView>
  </sheetViews>
  <sheetFormatPr defaultColWidth="9.140625" defaultRowHeight="12.75"/>
  <cols>
    <col min="1" max="1" width="6.421875" style="31" customWidth="1"/>
    <col min="2" max="2" width="47.281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134</v>
      </c>
      <c r="C1" s="9"/>
      <c r="D1" s="134" t="s">
        <v>21</v>
      </c>
      <c r="E1" s="134"/>
      <c r="F1" s="134"/>
      <c r="G1" s="9"/>
      <c r="H1" s="7"/>
      <c r="I1" s="7"/>
      <c r="J1" s="7"/>
    </row>
    <row r="2" spans="1:10" ht="55.5" customHeight="1">
      <c r="A2" s="12" t="s">
        <v>239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29" t="s">
        <v>29</v>
      </c>
      <c r="J2" s="17" t="s">
        <v>2</v>
      </c>
    </row>
    <row r="3" spans="1:10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ht="24" customHeight="1">
      <c r="A4" s="135" t="s">
        <v>82</v>
      </c>
      <c r="B4" s="167" t="s">
        <v>135</v>
      </c>
      <c r="C4" s="14"/>
      <c r="D4" s="25">
        <f>10230.9+12.3</f>
        <v>10243.2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ht="21" customHeight="1">
      <c r="A5" s="135"/>
      <c r="B5" s="167"/>
      <c r="C5" s="14"/>
      <c r="D5" s="25">
        <v>120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ht="21.75" customHeight="1">
      <c r="A6" s="135"/>
      <c r="B6" s="167"/>
      <c r="C6" s="14"/>
      <c r="D6" s="25">
        <v>324.6</v>
      </c>
      <c r="E6" s="24"/>
      <c r="F6" s="24"/>
      <c r="G6" s="15">
        <f>(5*52)/12</f>
        <v>21.67</v>
      </c>
      <c r="H6" s="14"/>
      <c r="I6" s="16">
        <v>23</v>
      </c>
      <c r="J6" s="14"/>
    </row>
    <row r="7" spans="1:10" ht="19.5" customHeight="1">
      <c r="A7" s="135" t="s">
        <v>38</v>
      </c>
      <c r="B7" s="167" t="s">
        <v>136</v>
      </c>
      <c r="C7" s="14"/>
      <c r="D7" s="77">
        <f>10230.9+12.3</f>
        <v>10243.2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ht="16.5" customHeight="1">
      <c r="A8" s="135"/>
      <c r="B8" s="167"/>
      <c r="C8" s="14"/>
      <c r="D8" s="25">
        <v>70</v>
      </c>
      <c r="E8" s="24"/>
      <c r="F8" s="24"/>
      <c r="G8" s="14">
        <f>60/12</f>
        <v>5</v>
      </c>
      <c r="H8" s="14"/>
      <c r="I8" s="16">
        <v>8</v>
      </c>
      <c r="J8" s="28"/>
    </row>
    <row r="9" spans="1:10" ht="38.25">
      <c r="A9" s="13" t="s">
        <v>40</v>
      </c>
      <c r="B9" s="63" t="s">
        <v>137</v>
      </c>
      <c r="C9" s="28"/>
      <c r="D9" s="25">
        <v>70</v>
      </c>
      <c r="E9" s="24"/>
      <c r="F9" s="24"/>
      <c r="G9" s="14">
        <f>45/12</f>
        <v>3.75</v>
      </c>
      <c r="H9" s="28"/>
      <c r="I9" s="54">
        <v>8</v>
      </c>
      <c r="J9" s="28"/>
    </row>
    <row r="10" spans="1:10" ht="12.75">
      <c r="A10" s="13" t="s">
        <v>42</v>
      </c>
      <c r="B10" s="63" t="s">
        <v>138</v>
      </c>
      <c r="C10" s="14"/>
      <c r="D10" s="25">
        <v>2135.8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ht="38.25">
      <c r="A11" s="13" t="s">
        <v>44</v>
      </c>
      <c r="B11" s="64" t="s">
        <v>139</v>
      </c>
      <c r="C11" s="14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ht="12.75">
      <c r="A12" s="13" t="s">
        <v>46</v>
      </c>
      <c r="B12" s="63" t="s">
        <v>45</v>
      </c>
      <c r="C12" s="14"/>
      <c r="D12" s="25">
        <v>10243.2</v>
      </c>
      <c r="E12" s="24"/>
      <c r="F12" s="24"/>
      <c r="G12" s="14">
        <v>1</v>
      </c>
      <c r="H12" s="14"/>
      <c r="I12" s="16">
        <v>23</v>
      </c>
      <c r="J12" s="14"/>
    </row>
    <row r="13" spans="1:10" ht="12.75">
      <c r="A13" s="13" t="s">
        <v>48</v>
      </c>
      <c r="B13" s="63" t="s">
        <v>47</v>
      </c>
      <c r="C13" s="14"/>
      <c r="D13" s="24"/>
      <c r="E13" s="25">
        <v>135</v>
      </c>
      <c r="F13" s="24"/>
      <c r="G13" s="15">
        <v>1</v>
      </c>
      <c r="H13" s="14"/>
      <c r="I13" s="16">
        <v>23</v>
      </c>
      <c r="J13" s="14"/>
    </row>
    <row r="14" spans="1:10" ht="25.5">
      <c r="A14" s="13" t="s">
        <v>50</v>
      </c>
      <c r="B14" s="64" t="s">
        <v>72</v>
      </c>
      <c r="C14" s="14"/>
      <c r="D14" s="24"/>
      <c r="E14" s="25">
        <v>10</v>
      </c>
      <c r="F14" s="24"/>
      <c r="G14" s="15">
        <f>(5*52)/12</f>
        <v>21.67</v>
      </c>
      <c r="H14" s="14"/>
      <c r="I14" s="16">
        <v>23</v>
      </c>
      <c r="J14" s="14"/>
    </row>
    <row r="15" spans="1:10" ht="12.75">
      <c r="A15" s="13" t="s">
        <v>52</v>
      </c>
      <c r="B15" s="64" t="s">
        <v>74</v>
      </c>
      <c r="C15" s="14"/>
      <c r="D15" s="24"/>
      <c r="E15" s="25">
        <v>10</v>
      </c>
      <c r="F15" s="24"/>
      <c r="G15" s="15">
        <v>1</v>
      </c>
      <c r="H15" s="14"/>
      <c r="I15" s="16">
        <v>23</v>
      </c>
      <c r="J15" s="14"/>
    </row>
    <row r="16" spans="1:10" ht="25.5">
      <c r="A16" s="13" t="s">
        <v>73</v>
      </c>
      <c r="B16" s="64" t="s">
        <v>88</v>
      </c>
      <c r="C16" s="14"/>
      <c r="D16" s="25">
        <v>32.19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ht="12.75">
      <c r="A17" s="13" t="s">
        <v>75</v>
      </c>
      <c r="B17" s="64" t="s">
        <v>59</v>
      </c>
      <c r="C17" s="14"/>
      <c r="D17" s="25">
        <v>18.82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ht="25.5">
      <c r="A18" s="13" t="s">
        <v>77</v>
      </c>
      <c r="B18" s="64" t="s">
        <v>89</v>
      </c>
      <c r="C18" s="14"/>
      <c r="D18" s="25">
        <v>22.52</v>
      </c>
      <c r="E18" s="24"/>
      <c r="F18" s="24"/>
      <c r="G18" s="15">
        <f>5*2*52/12</f>
        <v>43.33</v>
      </c>
      <c r="H18" s="14"/>
      <c r="I18" s="16">
        <v>23</v>
      </c>
      <c r="J18" s="14"/>
    </row>
    <row r="19" spans="1:10" ht="12.75">
      <c r="A19" s="13" t="s">
        <v>79</v>
      </c>
      <c r="B19" s="64" t="s">
        <v>76</v>
      </c>
      <c r="C19" s="14"/>
      <c r="D19" s="24"/>
      <c r="E19" s="24"/>
      <c r="F19" s="25">
        <v>1</v>
      </c>
      <c r="G19" s="15">
        <v>1</v>
      </c>
      <c r="H19" s="14"/>
      <c r="I19" s="16">
        <v>23</v>
      </c>
      <c r="J19" s="28"/>
    </row>
    <row r="20" spans="1:10" ht="13.5" thickBot="1">
      <c r="A20" s="13" t="s">
        <v>80</v>
      </c>
      <c r="B20" s="64" t="s">
        <v>140</v>
      </c>
      <c r="C20" s="14"/>
      <c r="D20" s="24"/>
      <c r="E20" s="25">
        <v>2</v>
      </c>
      <c r="F20" s="24"/>
      <c r="G20" s="25">
        <f>5*52/12</f>
        <v>21.67</v>
      </c>
      <c r="H20" s="14"/>
      <c r="I20" s="16">
        <v>23</v>
      </c>
      <c r="J20" s="117"/>
    </row>
    <row r="21" spans="1:10" ht="13.5" thickBot="1">
      <c r="A21" s="7"/>
      <c r="B21" s="67" t="s">
        <v>63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18" t="s">
        <v>54</v>
      </c>
      <c r="J21" s="119"/>
    </row>
    <row r="27" ht="12.75">
      <c r="L27" s="78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8515625" style="4" customWidth="1"/>
    <col min="2" max="2" width="40.421875" style="4" customWidth="1"/>
    <col min="3" max="3" width="7.28125" style="5" customWidth="1"/>
    <col min="4" max="4" width="8.7109375" style="5" customWidth="1"/>
    <col min="5" max="5" width="5.7109375" style="5" customWidth="1"/>
    <col min="6" max="6" width="6.00390625" style="5" customWidth="1"/>
    <col min="7" max="7" width="14.8515625" style="5" customWidth="1"/>
    <col min="8" max="8" width="11.421875" style="5" customWidth="1"/>
    <col min="9" max="9" width="4.7109375" style="6" customWidth="1"/>
    <col min="10" max="16384" width="9.140625" style="4" customWidth="1"/>
  </cols>
  <sheetData>
    <row r="1" spans="1:10" ht="12.75">
      <c r="A1" s="7"/>
      <c r="B1" s="8" t="s">
        <v>20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s="18" customFormat="1" ht="37.5" customHeight="1">
      <c r="A2" s="12" t="s">
        <v>228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5" t="s">
        <v>28</v>
      </c>
      <c r="I2" s="16" t="s">
        <v>29</v>
      </c>
      <c r="J2" s="17" t="s">
        <v>2</v>
      </c>
    </row>
    <row r="3" spans="1:10" s="22" customFormat="1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20" t="s">
        <v>30</v>
      </c>
      <c r="I3" s="16" t="s">
        <v>35</v>
      </c>
      <c r="J3" s="16" t="s">
        <v>30</v>
      </c>
    </row>
    <row r="4" spans="1:10" s="18" customFormat="1" ht="30" customHeight="1">
      <c r="A4" s="135" t="s">
        <v>36</v>
      </c>
      <c r="B4" s="136" t="s">
        <v>37</v>
      </c>
      <c r="C4" s="15"/>
      <c r="D4" s="15">
        <f>5952.83+6045.76+380+6954.57+380+6584.52+380</f>
        <v>26677.68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s="18" customFormat="1" ht="27" customHeight="1">
      <c r="A5" s="135"/>
      <c r="B5" s="136"/>
      <c r="C5" s="15"/>
      <c r="D5" s="15">
        <f>90.16+100.66+107.25+90.36</f>
        <v>388.43</v>
      </c>
      <c r="E5" s="24"/>
      <c r="F5" s="24"/>
      <c r="G5" s="15">
        <f>(7*52)/12</f>
        <v>30.33</v>
      </c>
      <c r="H5" s="14"/>
      <c r="I5" s="16">
        <v>23</v>
      </c>
      <c r="J5" s="14"/>
    </row>
    <row r="6" spans="1:10" s="18" customFormat="1" ht="45.75" customHeight="1">
      <c r="A6" s="13" t="s">
        <v>38</v>
      </c>
      <c r="B6" s="23" t="s">
        <v>39</v>
      </c>
      <c r="C6" s="15"/>
      <c r="D6" s="15">
        <f>5952.83+6045.76+380+6954.57+380+6584.52+380</f>
        <v>26677.68</v>
      </c>
      <c r="E6" s="24"/>
      <c r="F6" s="24"/>
      <c r="G6" s="14">
        <f>60/12</f>
        <v>5</v>
      </c>
      <c r="H6" s="14"/>
      <c r="I6" s="16">
        <v>23</v>
      </c>
      <c r="J6" s="14"/>
    </row>
    <row r="7" spans="1:10" s="18" customFormat="1" ht="51">
      <c r="A7" s="13" t="s">
        <v>40</v>
      </c>
      <c r="B7" s="23" t="s">
        <v>41</v>
      </c>
      <c r="C7" s="14"/>
      <c r="D7" s="15">
        <f>6584.52+1140</f>
        <v>7724.52</v>
      </c>
      <c r="E7" s="24"/>
      <c r="F7" s="24"/>
      <c r="G7" s="14">
        <f>45/12</f>
        <v>3.75</v>
      </c>
      <c r="H7" s="14"/>
      <c r="I7" s="16">
        <v>23</v>
      </c>
      <c r="J7" s="14"/>
    </row>
    <row r="8" spans="1:10" s="18" customFormat="1" ht="63.75">
      <c r="A8" s="13" t="s">
        <v>42</v>
      </c>
      <c r="B8" s="26" t="s">
        <v>43</v>
      </c>
      <c r="C8" s="14"/>
      <c r="D8" s="24"/>
      <c r="E8" s="24"/>
      <c r="F8" s="25">
        <v>1</v>
      </c>
      <c r="G8" s="14">
        <v>1</v>
      </c>
      <c r="H8" s="14"/>
      <c r="I8" s="16">
        <v>8</v>
      </c>
      <c r="J8" s="14"/>
    </row>
    <row r="9" spans="1:10" s="18" customFormat="1" ht="15.75" customHeight="1">
      <c r="A9" s="27" t="s">
        <v>44</v>
      </c>
      <c r="B9" s="23" t="s">
        <v>45</v>
      </c>
      <c r="C9" s="14"/>
      <c r="D9" s="25">
        <v>13000.33</v>
      </c>
      <c r="E9" s="24"/>
      <c r="F9" s="24"/>
      <c r="G9" s="28">
        <v>1</v>
      </c>
      <c r="H9" s="14"/>
      <c r="I9" s="16">
        <v>23</v>
      </c>
      <c r="J9" s="14"/>
    </row>
    <row r="10" spans="1:10" s="18" customFormat="1" ht="15" customHeight="1">
      <c r="A10" s="27" t="s">
        <v>46</v>
      </c>
      <c r="B10" s="23" t="s">
        <v>47</v>
      </c>
      <c r="C10" s="14"/>
      <c r="D10" s="24"/>
      <c r="E10" s="25">
        <v>677</v>
      </c>
      <c r="F10" s="24"/>
      <c r="G10" s="15">
        <v>1</v>
      </c>
      <c r="H10" s="14"/>
      <c r="I10" s="16">
        <v>23</v>
      </c>
      <c r="J10" s="14"/>
    </row>
    <row r="11" spans="1:10" s="18" customFormat="1" ht="24.75" customHeight="1">
      <c r="A11" s="27" t="s">
        <v>48</v>
      </c>
      <c r="B11" s="23" t="s">
        <v>49</v>
      </c>
      <c r="C11" s="14"/>
      <c r="D11" s="24"/>
      <c r="E11" s="15">
        <v>24</v>
      </c>
      <c r="F11" s="24"/>
      <c r="G11" s="15">
        <f>(6*52)/12</f>
        <v>26</v>
      </c>
      <c r="H11" s="14"/>
      <c r="I11" s="16">
        <v>23</v>
      </c>
      <c r="J11" s="14"/>
    </row>
    <row r="12" spans="1:10" s="18" customFormat="1" ht="15" customHeight="1">
      <c r="A12" s="27" t="s">
        <v>50</v>
      </c>
      <c r="B12" s="26" t="s">
        <v>51</v>
      </c>
      <c r="C12" s="14"/>
      <c r="D12" s="24"/>
      <c r="E12" s="15">
        <v>24</v>
      </c>
      <c r="F12" s="24"/>
      <c r="G12" s="15">
        <v>1</v>
      </c>
      <c r="H12" s="14"/>
      <c r="I12" s="16">
        <v>23</v>
      </c>
      <c r="J12" s="14"/>
    </row>
    <row r="13" spans="1:10" s="18" customFormat="1" ht="15" customHeight="1" thickBot="1">
      <c r="A13" s="27" t="s">
        <v>52</v>
      </c>
      <c r="B13" s="26" t="s">
        <v>53</v>
      </c>
      <c r="C13" s="14"/>
      <c r="D13" s="24"/>
      <c r="E13" s="24"/>
      <c r="F13" s="25">
        <v>1</v>
      </c>
      <c r="G13" s="15">
        <v>1</v>
      </c>
      <c r="H13" s="14"/>
      <c r="I13" s="16">
        <v>23</v>
      </c>
      <c r="J13" s="117"/>
    </row>
    <row r="14" spans="1:10" s="18" customFormat="1" ht="13.5" thickBot="1">
      <c r="A14" s="29"/>
      <c r="B14" s="17"/>
      <c r="C14" s="20"/>
      <c r="D14" s="20" t="s">
        <v>54</v>
      </c>
      <c r="E14" s="20" t="s">
        <v>54</v>
      </c>
      <c r="F14" s="20" t="s">
        <v>54</v>
      </c>
      <c r="G14" s="20" t="s">
        <v>54</v>
      </c>
      <c r="H14" s="20" t="s">
        <v>54</v>
      </c>
      <c r="I14" s="116" t="s">
        <v>54</v>
      </c>
      <c r="J14" s="105"/>
    </row>
    <row r="15" spans="3:9" s="18" customFormat="1" ht="12.75">
      <c r="C15" s="30"/>
      <c r="D15" s="30"/>
      <c r="E15" s="30"/>
      <c r="F15" s="30"/>
      <c r="G15" s="30"/>
      <c r="H15" s="30"/>
      <c r="I15" s="22"/>
    </row>
    <row r="16" spans="3:9" s="18" customFormat="1" ht="12.75">
      <c r="C16" s="30"/>
      <c r="D16" s="30"/>
      <c r="E16" s="30"/>
      <c r="F16" s="30"/>
      <c r="G16" s="30"/>
      <c r="H16" s="30"/>
      <c r="I16" s="22"/>
    </row>
    <row r="17" spans="3:9" s="18" customFormat="1" ht="12.75">
      <c r="C17" s="30"/>
      <c r="D17" s="30"/>
      <c r="E17" s="30"/>
      <c r="F17" s="30"/>
      <c r="G17" s="30"/>
      <c r="H17" s="30"/>
      <c r="I17" s="22"/>
    </row>
    <row r="18" spans="3:9" s="18" customFormat="1" ht="12.75">
      <c r="C18" s="30"/>
      <c r="D18" s="30"/>
      <c r="E18" s="30"/>
      <c r="F18" s="30"/>
      <c r="G18" s="30"/>
      <c r="H18" s="30"/>
      <c r="I18" s="22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93" r:id="rId1"/>
  <headerFooter alignWithMargins="0"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25.5">
      <c r="A1" s="7"/>
      <c r="B1" s="52" t="s">
        <v>207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240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50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13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4" t="s">
        <v>196</v>
      </c>
      <c r="C7" s="106"/>
      <c r="D7" s="109"/>
      <c r="E7" s="106">
        <v>2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197</v>
      </c>
      <c r="C8" s="106"/>
      <c r="D8" s="109"/>
      <c r="E8" s="106">
        <v>683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5" t="s">
        <v>198</v>
      </c>
      <c r="C9" s="106"/>
      <c r="D9" s="107">
        <v>50</v>
      </c>
      <c r="E9" s="109"/>
      <c r="F9" s="109"/>
      <c r="G9" s="110">
        <v>1</v>
      </c>
      <c r="H9" s="106"/>
      <c r="I9" s="110">
        <v>8</v>
      </c>
      <c r="J9" s="106"/>
    </row>
    <row r="10" spans="1:10" ht="13.5" thickBot="1">
      <c r="A10" s="13" t="s">
        <v>46</v>
      </c>
      <c r="B10" s="96" t="s">
        <v>199</v>
      </c>
      <c r="C10" s="106"/>
      <c r="D10" s="107">
        <v>50</v>
      </c>
      <c r="E10" s="109"/>
      <c r="F10" s="109"/>
      <c r="G10" s="110">
        <v>0.5</v>
      </c>
      <c r="H10" s="106"/>
      <c r="I10" s="110">
        <v>8</v>
      </c>
      <c r="J10" s="108"/>
    </row>
    <row r="11" spans="1:10" ht="13.5" thickBot="1">
      <c r="A11" s="26"/>
      <c r="B11" s="41" t="s">
        <v>63</v>
      </c>
      <c r="C11" s="100" t="s">
        <v>54</v>
      </c>
      <c r="D11" s="101" t="s">
        <v>54</v>
      </c>
      <c r="E11" s="101" t="s">
        <v>54</v>
      </c>
      <c r="F11" s="101" t="s">
        <v>54</v>
      </c>
      <c r="G11" s="101" t="s">
        <v>54</v>
      </c>
      <c r="H11" s="100" t="s">
        <v>54</v>
      </c>
      <c r="I11" s="104" t="s">
        <v>54</v>
      </c>
      <c r="J11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58" t="s">
        <v>141</v>
      </c>
      <c r="C1" s="7"/>
      <c r="D1" s="137" t="s">
        <v>21</v>
      </c>
      <c r="E1" s="137"/>
      <c r="F1" s="137"/>
      <c r="G1" s="9"/>
      <c r="H1" s="7"/>
      <c r="I1" s="10"/>
      <c r="J1" s="7"/>
    </row>
    <row r="2" spans="1:10" ht="38.25" customHeight="1">
      <c r="A2" s="12" t="s">
        <v>241</v>
      </c>
      <c r="B2" s="17" t="s">
        <v>22</v>
      </c>
      <c r="C2" s="61" t="s">
        <v>23</v>
      </c>
      <c r="D2" s="17" t="s">
        <v>24</v>
      </c>
      <c r="E2" s="17" t="s">
        <v>25</v>
      </c>
      <c r="F2" s="17" t="s">
        <v>26</v>
      </c>
      <c r="G2" s="14" t="s">
        <v>27</v>
      </c>
      <c r="H2" s="29" t="s">
        <v>28</v>
      </c>
      <c r="I2" s="19" t="s">
        <v>29</v>
      </c>
      <c r="J2" s="17" t="s">
        <v>2</v>
      </c>
    </row>
    <row r="3" spans="1:10" ht="25.5">
      <c r="A3" s="16"/>
      <c r="B3" s="12"/>
      <c r="C3" s="12" t="s">
        <v>30</v>
      </c>
      <c r="D3" s="16" t="s">
        <v>31</v>
      </c>
      <c r="E3" s="16" t="s">
        <v>32</v>
      </c>
      <c r="F3" s="16" t="s">
        <v>33</v>
      </c>
      <c r="G3" s="21" t="s">
        <v>34</v>
      </c>
      <c r="H3" s="16" t="s">
        <v>30</v>
      </c>
      <c r="I3" s="20" t="s">
        <v>35</v>
      </c>
      <c r="J3" s="12" t="s">
        <v>30</v>
      </c>
    </row>
    <row r="4" spans="1:10" ht="33" customHeight="1">
      <c r="A4" s="168" t="s">
        <v>82</v>
      </c>
      <c r="B4" s="136" t="s">
        <v>142</v>
      </c>
      <c r="C4" s="14"/>
      <c r="D4" s="28">
        <v>31748.6</v>
      </c>
      <c r="E4" s="68"/>
      <c r="F4" s="68"/>
      <c r="G4" s="59">
        <f>26/12</f>
        <v>2.17</v>
      </c>
      <c r="H4" s="14"/>
      <c r="I4" s="69">
        <v>8</v>
      </c>
      <c r="J4" s="28"/>
    </row>
    <row r="5" spans="1:10" ht="28.5" customHeight="1">
      <c r="A5" s="168"/>
      <c r="B5" s="136"/>
      <c r="C5" s="14"/>
      <c r="D5" s="28">
        <f>D6</f>
        <v>9365</v>
      </c>
      <c r="E5" s="68"/>
      <c r="F5" s="68"/>
      <c r="G5" s="79">
        <f>105/7/12</f>
        <v>1.25</v>
      </c>
      <c r="H5" s="14"/>
      <c r="I5" s="69">
        <v>8</v>
      </c>
      <c r="J5" s="28"/>
    </row>
    <row r="6" spans="1:10" ht="38.25">
      <c r="A6" s="16" t="s">
        <v>38</v>
      </c>
      <c r="B6" s="23" t="s">
        <v>113</v>
      </c>
      <c r="C6" s="14"/>
      <c r="D6" s="72">
        <f>8845+520</f>
        <v>9365</v>
      </c>
      <c r="E6" s="68"/>
      <c r="F6" s="68"/>
      <c r="G6" s="14">
        <f>60/12</f>
        <v>5</v>
      </c>
      <c r="H6" s="14"/>
      <c r="I6" s="70">
        <v>8</v>
      </c>
      <c r="J6" s="28"/>
    </row>
    <row r="7" spans="1:10" ht="38.25">
      <c r="A7" s="54" t="s">
        <v>40</v>
      </c>
      <c r="B7" s="80" t="s">
        <v>114</v>
      </c>
      <c r="C7" s="28"/>
      <c r="D7" s="72">
        <f>8845+520</f>
        <v>9365</v>
      </c>
      <c r="E7" s="68"/>
      <c r="F7" s="68"/>
      <c r="G7" s="14">
        <f>45/12</f>
        <v>3.75</v>
      </c>
      <c r="H7" s="14"/>
      <c r="I7" s="73">
        <v>8</v>
      </c>
      <c r="J7" s="28"/>
    </row>
    <row r="8" spans="1:10" ht="25.5">
      <c r="A8" s="54" t="s">
        <v>42</v>
      </c>
      <c r="B8" s="71" t="s">
        <v>143</v>
      </c>
      <c r="C8" s="28"/>
      <c r="D8" s="28">
        <v>183.3</v>
      </c>
      <c r="E8" s="36"/>
      <c r="F8" s="36"/>
      <c r="G8" s="28">
        <f>2/12</f>
        <v>0.17</v>
      </c>
      <c r="H8" s="14"/>
      <c r="I8" s="73">
        <v>8</v>
      </c>
      <c r="J8" s="28"/>
    </row>
    <row r="9" spans="1:10" ht="51">
      <c r="A9" s="54" t="s">
        <v>44</v>
      </c>
      <c r="B9" s="74" t="s">
        <v>120</v>
      </c>
      <c r="C9" s="28"/>
      <c r="D9" s="75"/>
      <c r="E9" s="68"/>
      <c r="F9" s="25">
        <v>1</v>
      </c>
      <c r="G9" s="28">
        <v>1</v>
      </c>
      <c r="H9" s="14"/>
      <c r="I9" s="73">
        <v>8</v>
      </c>
      <c r="J9" s="14"/>
    </row>
    <row r="10" spans="1:10" ht="12.75">
      <c r="A10" s="16" t="s">
        <v>46</v>
      </c>
      <c r="B10" s="23" t="s">
        <v>47</v>
      </c>
      <c r="C10" s="14"/>
      <c r="D10" s="75"/>
      <c r="E10" s="25">
        <v>163</v>
      </c>
      <c r="F10" s="68"/>
      <c r="G10" s="14">
        <v>1</v>
      </c>
      <c r="H10" s="14"/>
      <c r="I10" s="69">
        <v>8</v>
      </c>
      <c r="J10" s="14"/>
    </row>
    <row r="11" spans="1:10" ht="25.5">
      <c r="A11" s="16" t="s">
        <v>48</v>
      </c>
      <c r="B11" s="45" t="s">
        <v>72</v>
      </c>
      <c r="C11" s="14"/>
      <c r="D11" s="75"/>
      <c r="E11" s="25">
        <v>6</v>
      </c>
      <c r="F11" s="24"/>
      <c r="G11" s="15">
        <f>(5*52)/12</f>
        <v>21.67</v>
      </c>
      <c r="H11" s="14"/>
      <c r="I11" s="69">
        <v>8</v>
      </c>
      <c r="J11" s="14"/>
    </row>
    <row r="12" spans="1:10" ht="12.75">
      <c r="A12" s="16" t="s">
        <v>50</v>
      </c>
      <c r="B12" s="45" t="s">
        <v>74</v>
      </c>
      <c r="C12" s="14"/>
      <c r="D12" s="75"/>
      <c r="E12" s="25">
        <v>6</v>
      </c>
      <c r="F12" s="68"/>
      <c r="G12" s="14">
        <v>1</v>
      </c>
      <c r="H12" s="14"/>
      <c r="I12" s="69">
        <v>8</v>
      </c>
      <c r="J12" s="14"/>
    </row>
    <row r="13" spans="1:10" ht="38.25">
      <c r="A13" s="16" t="s">
        <v>52</v>
      </c>
      <c r="B13" s="45" t="s">
        <v>144</v>
      </c>
      <c r="C13" s="14"/>
      <c r="D13" s="28">
        <v>49.7</v>
      </c>
      <c r="E13" s="68"/>
      <c r="F13" s="68"/>
      <c r="G13" s="14">
        <v>1</v>
      </c>
      <c r="H13" s="14"/>
      <c r="I13" s="69">
        <v>23</v>
      </c>
      <c r="J13" s="14"/>
    </row>
    <row r="14" spans="1:10" ht="25.5">
      <c r="A14" s="16" t="s">
        <v>73</v>
      </c>
      <c r="B14" s="23" t="s">
        <v>89</v>
      </c>
      <c r="C14" s="14"/>
      <c r="D14" s="28">
        <v>37</v>
      </c>
      <c r="E14" s="68"/>
      <c r="F14" s="68"/>
      <c r="G14" s="25">
        <f>5*52/12</f>
        <v>21.67</v>
      </c>
      <c r="H14" s="14"/>
      <c r="I14" s="69">
        <v>23</v>
      </c>
      <c r="J14" s="14"/>
    </row>
    <row r="15" spans="1:10" ht="13.5" thickBot="1">
      <c r="A15" s="16" t="s">
        <v>75</v>
      </c>
      <c r="B15" s="23" t="s">
        <v>76</v>
      </c>
      <c r="C15" s="14"/>
      <c r="D15" s="75"/>
      <c r="E15" s="68"/>
      <c r="F15" s="25">
        <v>1</v>
      </c>
      <c r="G15" s="14">
        <v>1</v>
      </c>
      <c r="H15" s="14"/>
      <c r="I15" s="69">
        <v>8</v>
      </c>
      <c r="J15" s="117"/>
    </row>
    <row r="16" spans="1:10" ht="13.5" thickBot="1">
      <c r="A16" s="17"/>
      <c r="B16" s="41" t="s">
        <v>63</v>
      </c>
      <c r="C16" s="16" t="s">
        <v>54</v>
      </c>
      <c r="D16" s="16" t="s">
        <v>54</v>
      </c>
      <c r="E16" s="16" t="s">
        <v>54</v>
      </c>
      <c r="F16" s="16" t="s">
        <v>54</v>
      </c>
      <c r="G16" s="20" t="s">
        <v>54</v>
      </c>
      <c r="H16" s="20" t="s">
        <v>54</v>
      </c>
      <c r="I16" s="120" t="s">
        <v>54</v>
      </c>
      <c r="J16" s="105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208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242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17270.8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55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4" t="s">
        <v>196</v>
      </c>
      <c r="C7" s="106"/>
      <c r="D7" s="109"/>
      <c r="E7" s="106">
        <v>160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197</v>
      </c>
      <c r="C8" s="106"/>
      <c r="D8" s="109"/>
      <c r="E8" s="106">
        <v>36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5" t="s">
        <v>198</v>
      </c>
      <c r="C9" s="106"/>
      <c r="D9" s="107">
        <v>200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46</v>
      </c>
      <c r="B10" s="96" t="s">
        <v>199</v>
      </c>
      <c r="C10" s="106"/>
      <c r="D10" s="107">
        <v>1460.9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48</v>
      </c>
      <c r="B11" s="94" t="s">
        <v>200</v>
      </c>
      <c r="C11" s="106"/>
      <c r="D11" s="107">
        <v>17000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63</v>
      </c>
      <c r="C12" s="100" t="s">
        <v>54</v>
      </c>
      <c r="D12" s="101" t="s">
        <v>54</v>
      </c>
      <c r="E12" s="101" t="s">
        <v>54</v>
      </c>
      <c r="F12" s="101" t="s">
        <v>54</v>
      </c>
      <c r="G12" s="101" t="s">
        <v>54</v>
      </c>
      <c r="H12" s="100" t="s">
        <v>54</v>
      </c>
      <c r="I12" s="104" t="s">
        <v>54</v>
      </c>
      <c r="J12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574218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81"/>
      <c r="B1" s="82" t="s">
        <v>145</v>
      </c>
      <c r="C1" s="9"/>
      <c r="D1" s="134" t="s">
        <v>21</v>
      </c>
      <c r="E1" s="134"/>
      <c r="F1" s="134"/>
      <c r="G1" s="9"/>
      <c r="H1" s="7"/>
      <c r="I1" s="11"/>
      <c r="J1" s="7"/>
    </row>
    <row r="2" spans="1:10" ht="60.75" customHeight="1">
      <c r="A2" s="12" t="s">
        <v>243</v>
      </c>
      <c r="B2" s="12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25.5">
      <c r="A3" s="12"/>
      <c r="B3" s="12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ht="63.75">
      <c r="A4" s="12" t="s">
        <v>82</v>
      </c>
      <c r="B4" s="23" t="s">
        <v>118</v>
      </c>
      <c r="C4" s="14"/>
      <c r="D4" s="25">
        <f>553.4+1653.5+3219.4</f>
        <v>5426.3</v>
      </c>
      <c r="E4" s="24"/>
      <c r="F4" s="24"/>
      <c r="G4" s="25">
        <f>12/12</f>
        <v>1</v>
      </c>
      <c r="H4" s="14"/>
      <c r="I4" s="16">
        <v>8</v>
      </c>
      <c r="J4" s="14"/>
    </row>
    <row r="5" spans="1:10" ht="38.25">
      <c r="A5" s="12" t="s">
        <v>38</v>
      </c>
      <c r="B5" s="23" t="s">
        <v>113</v>
      </c>
      <c r="C5" s="14"/>
      <c r="D5" s="25">
        <f>553.4+3219.4</f>
        <v>3772.8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2" t="s">
        <v>40</v>
      </c>
      <c r="B6" s="26" t="s">
        <v>146</v>
      </c>
      <c r="C6" s="14"/>
      <c r="D6" s="25">
        <f>553.4+3219.4</f>
        <v>3772.8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2" t="s">
        <v>42</v>
      </c>
      <c r="B7" s="37" t="s">
        <v>147</v>
      </c>
      <c r="C7" s="14"/>
      <c r="D7" s="25">
        <v>188.52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2" t="s">
        <v>44</v>
      </c>
      <c r="B8" s="37" t="s">
        <v>148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2" t="s">
        <v>46</v>
      </c>
      <c r="B9" s="23" t="s">
        <v>47</v>
      </c>
      <c r="C9" s="14"/>
      <c r="D9" s="24"/>
      <c r="E9" s="25">
        <v>122</v>
      </c>
      <c r="F9" s="24"/>
      <c r="G9" s="14">
        <v>1</v>
      </c>
      <c r="H9" s="14"/>
      <c r="I9" s="16">
        <v>8</v>
      </c>
      <c r="J9" s="14"/>
    </row>
    <row r="10" spans="1:10" ht="25.5">
      <c r="A10" s="12" t="s">
        <v>48</v>
      </c>
      <c r="B10" s="23" t="s">
        <v>72</v>
      </c>
      <c r="C10" s="14"/>
      <c r="D10" s="24"/>
      <c r="E10" s="25">
        <v>4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2" t="s">
        <v>50</v>
      </c>
      <c r="B11" s="23" t="s">
        <v>74</v>
      </c>
      <c r="C11" s="14"/>
      <c r="D11" s="24"/>
      <c r="E11" s="25">
        <v>4</v>
      </c>
      <c r="F11" s="24"/>
      <c r="G11" s="15">
        <v>1</v>
      </c>
      <c r="H11" s="14"/>
      <c r="I11" s="16">
        <v>8</v>
      </c>
      <c r="J11" s="14"/>
    </row>
    <row r="12" spans="1:10" ht="38.25">
      <c r="A12" s="12" t="s">
        <v>52</v>
      </c>
      <c r="B12" s="23" t="s">
        <v>149</v>
      </c>
      <c r="C12" s="14"/>
      <c r="D12" s="25">
        <v>16.55</v>
      </c>
      <c r="E12" s="24"/>
      <c r="F12" s="24"/>
      <c r="G12" s="15">
        <v>1</v>
      </c>
      <c r="H12" s="14"/>
      <c r="I12" s="16">
        <v>23</v>
      </c>
      <c r="J12" s="14"/>
    </row>
    <row r="13" spans="1:10" ht="25.5">
      <c r="A13" s="12" t="s">
        <v>73</v>
      </c>
      <c r="B13" s="23" t="s">
        <v>150</v>
      </c>
      <c r="C13" s="14"/>
      <c r="D13" s="25">
        <v>3.49</v>
      </c>
      <c r="E13" s="24"/>
      <c r="F13" s="24"/>
      <c r="G13" s="25">
        <f>(5*52)/12</f>
        <v>21.67</v>
      </c>
      <c r="H13" s="14"/>
      <c r="I13" s="16">
        <v>23</v>
      </c>
      <c r="J13" s="14"/>
    </row>
    <row r="14" spans="1:10" ht="12.75">
      <c r="A14" s="12" t="s">
        <v>75</v>
      </c>
      <c r="B14" s="23" t="s">
        <v>76</v>
      </c>
      <c r="C14" s="14"/>
      <c r="D14" s="24"/>
      <c r="E14" s="24"/>
      <c r="F14" s="25">
        <v>1</v>
      </c>
      <c r="G14" s="15">
        <v>1</v>
      </c>
      <c r="H14" s="14"/>
      <c r="I14" s="16">
        <v>8</v>
      </c>
      <c r="J14" s="14"/>
    </row>
    <row r="15" spans="1:10" ht="13.5" thickBot="1">
      <c r="A15" s="12" t="s">
        <v>77</v>
      </c>
      <c r="B15" s="47" t="s">
        <v>151</v>
      </c>
      <c r="C15" s="14"/>
      <c r="D15" s="24"/>
      <c r="E15" s="24"/>
      <c r="F15" s="25">
        <v>1</v>
      </c>
      <c r="G15" s="15">
        <v>1</v>
      </c>
      <c r="H15" s="14"/>
      <c r="I15" s="16">
        <v>8</v>
      </c>
      <c r="J15" s="117"/>
    </row>
    <row r="16" spans="1:10" ht="13.5" thickBot="1">
      <c r="A16" s="29"/>
      <c r="B16" s="41" t="s">
        <v>63</v>
      </c>
      <c r="C16" s="20" t="s">
        <v>54</v>
      </c>
      <c r="D16" s="20" t="s">
        <v>54</v>
      </c>
      <c r="E16" s="20" t="s">
        <v>54</v>
      </c>
      <c r="F16" s="20" t="s">
        <v>54</v>
      </c>
      <c r="G16" s="20" t="s">
        <v>54</v>
      </c>
      <c r="H16" s="16" t="s">
        <v>54</v>
      </c>
      <c r="I16" s="116" t="s">
        <v>54</v>
      </c>
      <c r="J16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209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244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1653.5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2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4" t="s">
        <v>196</v>
      </c>
      <c r="C7" s="106"/>
      <c r="D7" s="109"/>
      <c r="E7" s="106">
        <v>20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197</v>
      </c>
      <c r="C8" s="106"/>
      <c r="D8" s="109"/>
      <c r="E8" s="106">
        <v>35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5" t="s">
        <v>198</v>
      </c>
      <c r="C9" s="106"/>
      <c r="D9" s="107">
        <v>20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46</v>
      </c>
      <c r="B10" s="96" t="s">
        <v>199</v>
      </c>
      <c r="C10" s="106"/>
      <c r="D10" s="107">
        <v>553.4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48</v>
      </c>
      <c r="B11" s="94" t="s">
        <v>200</v>
      </c>
      <c r="C11" s="106"/>
      <c r="D11" s="107">
        <v>1600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63</v>
      </c>
      <c r="C12" s="100" t="s">
        <v>54</v>
      </c>
      <c r="D12" s="101" t="s">
        <v>54</v>
      </c>
      <c r="E12" s="101" t="s">
        <v>54</v>
      </c>
      <c r="F12" s="101" t="s">
        <v>54</v>
      </c>
      <c r="G12" s="101" t="s">
        <v>54</v>
      </c>
      <c r="H12" s="100" t="s">
        <v>54</v>
      </c>
      <c r="I12" s="104" t="s">
        <v>54</v>
      </c>
      <c r="J12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8515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152</v>
      </c>
      <c r="C1" s="9"/>
      <c r="D1" s="134" t="s">
        <v>21</v>
      </c>
      <c r="E1" s="134"/>
      <c r="F1" s="134"/>
      <c r="G1" s="9"/>
      <c r="H1" s="7"/>
      <c r="I1" s="11"/>
      <c r="J1" s="7"/>
    </row>
    <row r="2" spans="1:10" ht="58.5" customHeight="1">
      <c r="A2" s="12" t="s">
        <v>245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ht="63.75">
      <c r="A4" s="13" t="s">
        <v>82</v>
      </c>
      <c r="B4" s="63" t="s">
        <v>118</v>
      </c>
      <c r="C4" s="14"/>
      <c r="D4" s="25">
        <f>430+400+2300</f>
        <v>3130</v>
      </c>
      <c r="E4" s="24"/>
      <c r="F4" s="24"/>
      <c r="G4" s="25">
        <f>12/12</f>
        <v>1</v>
      </c>
      <c r="H4" s="14"/>
      <c r="I4" s="16">
        <v>8</v>
      </c>
      <c r="J4" s="14"/>
    </row>
    <row r="5" spans="1:10" ht="38.25">
      <c r="A5" s="13" t="s">
        <v>38</v>
      </c>
      <c r="B5" s="63" t="s">
        <v>113</v>
      </c>
      <c r="C5" s="14"/>
      <c r="D5" s="25">
        <f>430+2300</f>
        <v>2730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3" t="s">
        <v>40</v>
      </c>
      <c r="B6" s="63" t="s">
        <v>114</v>
      </c>
      <c r="C6" s="14"/>
      <c r="D6" s="25">
        <f>430+2300</f>
        <v>2730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3" t="s">
        <v>42</v>
      </c>
      <c r="B7" s="64" t="s">
        <v>147</v>
      </c>
      <c r="C7" s="14"/>
      <c r="D7" s="25">
        <v>88.5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3" t="s">
        <v>44</v>
      </c>
      <c r="B8" s="64" t="s">
        <v>148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3" t="s">
        <v>46</v>
      </c>
      <c r="B9" s="63" t="s">
        <v>47</v>
      </c>
      <c r="C9" s="14"/>
      <c r="D9" s="24"/>
      <c r="E9" s="25">
        <v>102</v>
      </c>
      <c r="F9" s="24"/>
      <c r="G9" s="14">
        <v>1</v>
      </c>
      <c r="H9" s="14"/>
      <c r="I9" s="16">
        <v>8</v>
      </c>
      <c r="J9" s="14"/>
    </row>
    <row r="10" spans="1:10" ht="25.5">
      <c r="A10" s="13" t="s">
        <v>48</v>
      </c>
      <c r="B10" s="63" t="s">
        <v>72</v>
      </c>
      <c r="C10" s="14"/>
      <c r="D10" s="24"/>
      <c r="E10" s="25">
        <v>7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3" t="s">
        <v>50</v>
      </c>
      <c r="B11" s="63" t="s">
        <v>74</v>
      </c>
      <c r="C11" s="14"/>
      <c r="D11" s="24"/>
      <c r="E11" s="25">
        <v>7</v>
      </c>
      <c r="F11" s="24"/>
      <c r="G11" s="15">
        <v>1</v>
      </c>
      <c r="H11" s="14"/>
      <c r="I11" s="16">
        <v>8</v>
      </c>
      <c r="J11" s="14"/>
    </row>
    <row r="12" spans="1:10" ht="38.25">
      <c r="A12" s="13" t="s">
        <v>52</v>
      </c>
      <c r="B12" s="63" t="s">
        <v>149</v>
      </c>
      <c r="C12" s="14"/>
      <c r="D12" s="25">
        <v>30</v>
      </c>
      <c r="E12" s="24"/>
      <c r="F12" s="24"/>
      <c r="G12" s="15">
        <v>1</v>
      </c>
      <c r="H12" s="14"/>
      <c r="I12" s="16">
        <v>23</v>
      </c>
      <c r="J12" s="14"/>
    </row>
    <row r="13" spans="1:10" ht="25.5">
      <c r="A13" s="13" t="s">
        <v>73</v>
      </c>
      <c r="B13" s="63" t="s">
        <v>150</v>
      </c>
      <c r="C13" s="14"/>
      <c r="D13" s="25">
        <v>35</v>
      </c>
      <c r="E13" s="24"/>
      <c r="F13" s="24"/>
      <c r="G13" s="25">
        <f>5*52/12</f>
        <v>21.67</v>
      </c>
      <c r="H13" s="14"/>
      <c r="I13" s="16">
        <v>23</v>
      </c>
      <c r="J13" s="14"/>
    </row>
    <row r="14" spans="1:10" ht="13.5" thickBot="1">
      <c r="A14" s="13" t="s">
        <v>75</v>
      </c>
      <c r="B14" s="63" t="s">
        <v>76</v>
      </c>
      <c r="C14" s="14"/>
      <c r="D14" s="24"/>
      <c r="E14" s="24"/>
      <c r="F14" s="25">
        <v>1</v>
      </c>
      <c r="G14" s="15">
        <v>1</v>
      </c>
      <c r="H14" s="14"/>
      <c r="I14" s="16">
        <v>8</v>
      </c>
      <c r="J14" s="117"/>
    </row>
    <row r="15" spans="1:10" ht="13.5" thickBot="1">
      <c r="A15" s="29"/>
      <c r="B15" s="41" t="s">
        <v>63</v>
      </c>
      <c r="C15" s="20" t="s">
        <v>54</v>
      </c>
      <c r="D15" s="20" t="s">
        <v>54</v>
      </c>
      <c r="E15" s="20" t="s">
        <v>54</v>
      </c>
      <c r="F15" s="20" t="s">
        <v>54</v>
      </c>
      <c r="G15" s="20" t="s">
        <v>54</v>
      </c>
      <c r="H15" s="20" t="s">
        <v>54</v>
      </c>
      <c r="I15" s="116" t="s">
        <v>54</v>
      </c>
      <c r="J15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210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246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400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6" t="s">
        <v>199</v>
      </c>
      <c r="C6" s="106"/>
      <c r="D6" s="107">
        <v>430</v>
      </c>
      <c r="E6" s="109"/>
      <c r="F6" s="109"/>
      <c r="G6" s="110">
        <v>0.5</v>
      </c>
      <c r="H6" s="106"/>
      <c r="I6" s="110">
        <v>8</v>
      </c>
      <c r="J6" s="106"/>
    </row>
    <row r="7" spans="1:10" ht="13.5" thickBot="1">
      <c r="A7" s="13" t="s">
        <v>40</v>
      </c>
      <c r="B7" s="94" t="s">
        <v>200</v>
      </c>
      <c r="C7" s="106"/>
      <c r="D7" s="107">
        <v>400</v>
      </c>
      <c r="E7" s="109"/>
      <c r="F7" s="109"/>
      <c r="G7" s="110">
        <v>1</v>
      </c>
      <c r="H7" s="106"/>
      <c r="I7" s="110">
        <v>8</v>
      </c>
      <c r="J7" s="108"/>
    </row>
    <row r="8" spans="1:10" ht="13.5" thickBot="1">
      <c r="A8" s="26"/>
      <c r="B8" s="41" t="s">
        <v>63</v>
      </c>
      <c r="C8" s="100" t="s">
        <v>54</v>
      </c>
      <c r="D8" s="101" t="s">
        <v>54</v>
      </c>
      <c r="E8" s="101" t="s">
        <v>54</v>
      </c>
      <c r="F8" s="101" t="s">
        <v>54</v>
      </c>
      <c r="G8" s="101" t="s">
        <v>54</v>
      </c>
      <c r="H8" s="100" t="s">
        <v>54</v>
      </c>
      <c r="I8" s="104" t="s">
        <v>54</v>
      </c>
      <c r="J8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&amp;L26&amp;C26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7" t="s">
        <v>153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33.75" customHeight="1">
      <c r="A2" s="12" t="s">
        <v>247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5" t="s">
        <v>28</v>
      </c>
      <c r="I2" s="16" t="s">
        <v>29</v>
      </c>
      <c r="J2" s="17" t="s">
        <v>2</v>
      </c>
    </row>
    <row r="3" spans="1:10" ht="25.5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20" t="s">
        <v>30</v>
      </c>
      <c r="I3" s="16" t="s">
        <v>35</v>
      </c>
      <c r="J3" s="16" t="s">
        <v>30</v>
      </c>
    </row>
    <row r="4" spans="1:10" ht="19.5" customHeight="1">
      <c r="A4" s="135" t="s">
        <v>82</v>
      </c>
      <c r="B4" s="167" t="s">
        <v>154</v>
      </c>
      <c r="C4" s="14"/>
      <c r="D4" s="25">
        <v>116.3</v>
      </c>
      <c r="E4" s="24"/>
      <c r="F4" s="24"/>
      <c r="G4" s="15">
        <f>(6*52)/12</f>
        <v>26</v>
      </c>
      <c r="H4" s="14"/>
      <c r="I4" s="16">
        <v>23</v>
      </c>
      <c r="J4" s="28"/>
    </row>
    <row r="5" spans="1:10" ht="20.25" customHeight="1">
      <c r="A5" s="135"/>
      <c r="B5" s="167"/>
      <c r="C5" s="14"/>
      <c r="D5" s="25">
        <v>31.1</v>
      </c>
      <c r="E5" s="24"/>
      <c r="F5" s="24"/>
      <c r="G5" s="25">
        <f>6*2*52/12</f>
        <v>52</v>
      </c>
      <c r="H5" s="14"/>
      <c r="I5" s="16">
        <v>23</v>
      </c>
      <c r="J5" s="28"/>
    </row>
    <row r="6" spans="1:10" ht="76.5">
      <c r="A6" s="13" t="s">
        <v>38</v>
      </c>
      <c r="B6" s="63" t="s">
        <v>155</v>
      </c>
      <c r="C6" s="14"/>
      <c r="D6" s="25">
        <f>5002.4+327+40</f>
        <v>5369.4</v>
      </c>
      <c r="E6" s="24"/>
      <c r="F6" s="24"/>
      <c r="G6" s="25">
        <f>39/12</f>
        <v>3.25</v>
      </c>
      <c r="H6" s="14"/>
      <c r="I6" s="16">
        <v>8</v>
      </c>
      <c r="J6" s="14"/>
    </row>
    <row r="7" spans="1:10" ht="38.25">
      <c r="A7" s="13" t="s">
        <v>40</v>
      </c>
      <c r="B7" s="63" t="s">
        <v>156</v>
      </c>
      <c r="C7" s="14"/>
      <c r="D7" s="25">
        <f>5002.4+40</f>
        <v>5042.4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ht="38.25">
      <c r="A8" s="13" t="s">
        <v>42</v>
      </c>
      <c r="B8" s="63" t="s">
        <v>157</v>
      </c>
      <c r="C8" s="14"/>
      <c r="D8" s="25">
        <f>5002.4+40</f>
        <v>5042.4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ht="12.75">
      <c r="A9" s="13" t="s">
        <v>44</v>
      </c>
      <c r="B9" s="63" t="s">
        <v>158</v>
      </c>
      <c r="C9" s="14"/>
      <c r="D9" s="25">
        <v>187.6</v>
      </c>
      <c r="E9" s="24"/>
      <c r="F9" s="24"/>
      <c r="G9" s="28">
        <f>2/12</f>
        <v>0.17</v>
      </c>
      <c r="H9" s="14"/>
      <c r="I9" s="16">
        <v>8</v>
      </c>
      <c r="J9" s="14"/>
    </row>
    <row r="10" spans="1:10" ht="12.75">
      <c r="A10" s="13" t="s">
        <v>46</v>
      </c>
      <c r="B10" s="83" t="s">
        <v>159</v>
      </c>
      <c r="C10" s="14"/>
      <c r="D10" s="24"/>
      <c r="E10" s="24"/>
      <c r="F10" s="25">
        <v>1</v>
      </c>
      <c r="G10" s="28">
        <f>3/12</f>
        <v>0.25</v>
      </c>
      <c r="H10" s="14"/>
      <c r="I10" s="16">
        <v>8</v>
      </c>
      <c r="J10" s="14"/>
    </row>
    <row r="11" spans="1:10" ht="12.75">
      <c r="A11" s="13" t="s">
        <v>48</v>
      </c>
      <c r="B11" s="63" t="s">
        <v>96</v>
      </c>
      <c r="C11" s="14"/>
      <c r="D11" s="24"/>
      <c r="E11" s="25">
        <v>142</v>
      </c>
      <c r="F11" s="24"/>
      <c r="G11" s="14">
        <v>1</v>
      </c>
      <c r="H11" s="14"/>
      <c r="I11" s="16">
        <v>8</v>
      </c>
      <c r="J11" s="14"/>
    </row>
    <row r="12" spans="1:10" ht="12.75">
      <c r="A12" s="13" t="s">
        <v>50</v>
      </c>
      <c r="B12" s="64" t="s">
        <v>76</v>
      </c>
      <c r="C12" s="14"/>
      <c r="D12" s="24"/>
      <c r="E12" s="24"/>
      <c r="F12" s="25">
        <v>1</v>
      </c>
      <c r="G12" s="14">
        <v>1</v>
      </c>
      <c r="H12" s="14"/>
      <c r="I12" s="16">
        <v>8</v>
      </c>
      <c r="J12" s="14"/>
    </row>
    <row r="13" spans="1:10" ht="51.75" thickBot="1">
      <c r="A13" s="13" t="s">
        <v>52</v>
      </c>
      <c r="B13" s="64" t="s">
        <v>160</v>
      </c>
      <c r="C13" s="14"/>
      <c r="D13" s="24"/>
      <c r="E13" s="24"/>
      <c r="F13" s="25">
        <v>1</v>
      </c>
      <c r="G13" s="15">
        <v>1</v>
      </c>
      <c r="H13" s="14"/>
      <c r="I13" s="16">
        <v>8</v>
      </c>
      <c r="J13" s="117"/>
    </row>
    <row r="14" spans="1:10" ht="13.5" thickBot="1">
      <c r="A14" s="29"/>
      <c r="B14" s="41" t="s">
        <v>63</v>
      </c>
      <c r="C14" s="20" t="s">
        <v>54</v>
      </c>
      <c r="D14" s="20" t="s">
        <v>54</v>
      </c>
      <c r="E14" s="20" t="s">
        <v>54</v>
      </c>
      <c r="F14" s="20" t="s">
        <v>54</v>
      </c>
      <c r="G14" s="20" t="s">
        <v>54</v>
      </c>
      <c r="H14" s="20" t="s">
        <v>54</v>
      </c>
      <c r="I14" s="116" t="s">
        <v>54</v>
      </c>
      <c r="J14" s="105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211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248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327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5" t="s">
        <v>197</v>
      </c>
      <c r="C6" s="106"/>
      <c r="D6" s="109"/>
      <c r="E6" s="106">
        <v>2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6" t="s">
        <v>199</v>
      </c>
      <c r="C7" s="106"/>
      <c r="D7" s="107">
        <v>500</v>
      </c>
      <c r="E7" s="109"/>
      <c r="F7" s="109"/>
      <c r="G7" s="110">
        <v>0.5</v>
      </c>
      <c r="H7" s="106"/>
      <c r="I7" s="110">
        <v>8</v>
      </c>
      <c r="J7" s="106"/>
    </row>
    <row r="8" spans="1:10" ht="13.5" thickBot="1">
      <c r="A8" s="13" t="s">
        <v>42</v>
      </c>
      <c r="B8" s="94" t="s">
        <v>200</v>
      </c>
      <c r="C8" s="106"/>
      <c r="D8" s="107">
        <v>327</v>
      </c>
      <c r="E8" s="109"/>
      <c r="F8" s="109"/>
      <c r="G8" s="110">
        <v>1</v>
      </c>
      <c r="H8" s="106"/>
      <c r="I8" s="110">
        <v>8</v>
      </c>
      <c r="J8" s="108"/>
    </row>
    <row r="9" spans="1:10" ht="13.5" thickBot="1">
      <c r="A9" s="26"/>
      <c r="B9" s="41" t="s">
        <v>63</v>
      </c>
      <c r="C9" s="100" t="s">
        <v>54</v>
      </c>
      <c r="D9" s="101" t="s">
        <v>54</v>
      </c>
      <c r="E9" s="101" t="s">
        <v>54</v>
      </c>
      <c r="F9" s="101" t="s">
        <v>54</v>
      </c>
      <c r="G9" s="101" t="s">
        <v>54</v>
      </c>
      <c r="H9" s="100" t="s">
        <v>54</v>
      </c>
      <c r="I9" s="104" t="s">
        <v>54</v>
      </c>
      <c r="J9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162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39" customHeight="1">
      <c r="A2" s="12" t="s">
        <v>249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163</v>
      </c>
      <c r="H2" s="15" t="s">
        <v>28</v>
      </c>
      <c r="I2" s="16" t="s">
        <v>29</v>
      </c>
      <c r="J2" s="17" t="s">
        <v>2</v>
      </c>
    </row>
    <row r="3" spans="1:10" ht="25.5" customHeight="1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19" t="s">
        <v>164</v>
      </c>
      <c r="H3" s="20" t="s">
        <v>30</v>
      </c>
      <c r="I3" s="16" t="s">
        <v>35</v>
      </c>
      <c r="J3" s="16" t="s">
        <v>30</v>
      </c>
    </row>
    <row r="4" spans="1:10" ht="23.25" customHeight="1">
      <c r="A4" s="135" t="s">
        <v>82</v>
      </c>
      <c r="B4" s="169" t="s">
        <v>165</v>
      </c>
      <c r="C4" s="85"/>
      <c r="D4" s="86">
        <f>(9967.1)-(3016.8+3026.6)</f>
        <v>3923.7</v>
      </c>
      <c r="E4" s="87"/>
      <c r="F4" s="87"/>
      <c r="G4" s="25">
        <f>2/12</f>
        <v>0.17</v>
      </c>
      <c r="H4" s="14">
        <f aca="true" t="shared" si="0" ref="H4:H20">IF(D4&gt;0,C4*D4*G4,IF(E4&gt;0,C4*E4*G4,IF(F4&gt;0,C4*F4*G4,0)))</f>
        <v>0</v>
      </c>
      <c r="I4" s="16">
        <v>23</v>
      </c>
      <c r="J4" s="28">
        <f aca="true" t="shared" si="1" ref="J4:J20">H4*I4/100+H4</f>
        <v>0</v>
      </c>
    </row>
    <row r="5" spans="1:10" ht="22.5" customHeight="1">
      <c r="A5" s="135"/>
      <c r="B5" s="135"/>
      <c r="C5" s="85"/>
      <c r="D5" s="86">
        <f>2186+1477</f>
        <v>3663</v>
      </c>
      <c r="E5" s="87"/>
      <c r="F5" s="87"/>
      <c r="G5" s="25">
        <f>2/12</f>
        <v>0.17</v>
      </c>
      <c r="H5" s="14">
        <f t="shared" si="0"/>
        <v>0</v>
      </c>
      <c r="I5" s="16">
        <v>8</v>
      </c>
      <c r="J5" s="28">
        <f t="shared" si="1"/>
        <v>0</v>
      </c>
    </row>
    <row r="6" spans="1:10" ht="25.5" customHeight="1">
      <c r="A6" s="135"/>
      <c r="B6" s="169"/>
      <c r="C6" s="14"/>
      <c r="D6" s="86">
        <v>157.3</v>
      </c>
      <c r="E6" s="24"/>
      <c r="F6" s="24"/>
      <c r="G6" s="25">
        <f>5*52/12</f>
        <v>21.67</v>
      </c>
      <c r="H6" s="14">
        <f t="shared" si="0"/>
        <v>0</v>
      </c>
      <c r="I6" s="16">
        <v>23</v>
      </c>
      <c r="J6" s="28">
        <f t="shared" si="1"/>
        <v>0</v>
      </c>
    </row>
    <row r="7" spans="1:10" ht="19.5" customHeight="1">
      <c r="A7" s="135" t="s">
        <v>38</v>
      </c>
      <c r="B7" s="170" t="s">
        <v>166</v>
      </c>
      <c r="C7" s="85"/>
      <c r="D7" s="25">
        <v>9967.1</v>
      </c>
      <c r="E7" s="24"/>
      <c r="F7" s="24"/>
      <c r="G7" s="25">
        <f>60/12</f>
        <v>5</v>
      </c>
      <c r="H7" s="14">
        <f t="shared" si="0"/>
        <v>0</v>
      </c>
      <c r="I7" s="16">
        <v>23</v>
      </c>
      <c r="J7" s="14">
        <f t="shared" si="1"/>
        <v>0</v>
      </c>
    </row>
    <row r="8" spans="1:10" ht="27" customHeight="1">
      <c r="A8" s="135"/>
      <c r="B8" s="170"/>
      <c r="C8" s="85"/>
      <c r="D8" s="25">
        <v>2186</v>
      </c>
      <c r="E8" s="24"/>
      <c r="F8" s="24"/>
      <c r="G8" s="25">
        <f>60/12</f>
        <v>5</v>
      </c>
      <c r="H8" s="14">
        <f t="shared" si="0"/>
        <v>0</v>
      </c>
      <c r="I8" s="16">
        <v>8</v>
      </c>
      <c r="J8" s="14">
        <f t="shared" si="1"/>
        <v>0</v>
      </c>
    </row>
    <row r="9" spans="1:10" ht="51" customHeight="1">
      <c r="A9" s="13" t="s">
        <v>40</v>
      </c>
      <c r="B9" s="26" t="s">
        <v>131</v>
      </c>
      <c r="C9" s="85"/>
      <c r="D9" s="25">
        <v>2186</v>
      </c>
      <c r="E9" s="24"/>
      <c r="F9" s="24"/>
      <c r="G9" s="25">
        <f>45/12</f>
        <v>3.75</v>
      </c>
      <c r="H9" s="14">
        <f t="shared" si="0"/>
        <v>0</v>
      </c>
      <c r="I9" s="16">
        <v>8</v>
      </c>
      <c r="J9" s="14">
        <f t="shared" si="1"/>
        <v>0</v>
      </c>
    </row>
    <row r="10" spans="1:10" ht="25.5" customHeight="1">
      <c r="A10" s="13" t="s">
        <v>167</v>
      </c>
      <c r="B10" s="26" t="s">
        <v>132</v>
      </c>
      <c r="C10" s="85"/>
      <c r="D10" s="25">
        <v>3050</v>
      </c>
      <c r="E10" s="24"/>
      <c r="F10" s="24"/>
      <c r="G10" s="25">
        <f>45/12</f>
        <v>3.75</v>
      </c>
      <c r="H10" s="14">
        <f t="shared" si="0"/>
        <v>0</v>
      </c>
      <c r="I10" s="16">
        <v>8</v>
      </c>
      <c r="J10" s="14">
        <f t="shared" si="1"/>
        <v>0</v>
      </c>
    </row>
    <row r="11" spans="1:10" ht="51" customHeight="1">
      <c r="A11" s="13" t="s">
        <v>44</v>
      </c>
      <c r="B11" s="17" t="s">
        <v>87</v>
      </c>
      <c r="C11" s="85"/>
      <c r="D11" s="24"/>
      <c r="E11" s="24"/>
      <c r="F11" s="25">
        <v>1</v>
      </c>
      <c r="G11" s="25">
        <v>1</v>
      </c>
      <c r="H11" s="14">
        <f t="shared" si="0"/>
        <v>0</v>
      </c>
      <c r="I11" s="16">
        <v>8</v>
      </c>
      <c r="J11" s="14">
        <f t="shared" si="1"/>
        <v>0</v>
      </c>
    </row>
    <row r="12" spans="1:10" ht="12.75" customHeight="1">
      <c r="A12" s="13" t="s">
        <v>46</v>
      </c>
      <c r="B12" s="89" t="s">
        <v>45</v>
      </c>
      <c r="C12" s="85"/>
      <c r="D12" s="25">
        <f>9967.1-1782.2</f>
        <v>8184.9</v>
      </c>
      <c r="E12" s="24"/>
      <c r="F12" s="24"/>
      <c r="G12" s="25">
        <v>1</v>
      </c>
      <c r="H12" s="14">
        <f t="shared" si="0"/>
        <v>0</v>
      </c>
      <c r="I12" s="16">
        <v>23</v>
      </c>
      <c r="J12" s="14">
        <f t="shared" si="1"/>
        <v>0</v>
      </c>
    </row>
    <row r="13" spans="1:10" ht="12.75" customHeight="1">
      <c r="A13" s="13" t="s">
        <v>168</v>
      </c>
      <c r="B13" s="89" t="s">
        <v>133</v>
      </c>
      <c r="C13" s="85"/>
      <c r="D13" s="24"/>
      <c r="E13" s="25">
        <v>144</v>
      </c>
      <c r="F13" s="24"/>
      <c r="G13" s="25">
        <v>1</v>
      </c>
      <c r="H13" s="14">
        <f t="shared" si="0"/>
        <v>0</v>
      </c>
      <c r="I13" s="16">
        <v>23</v>
      </c>
      <c r="J13" s="14">
        <f t="shared" si="1"/>
        <v>0</v>
      </c>
    </row>
    <row r="14" spans="1:10" ht="25.5" customHeight="1">
      <c r="A14" s="13" t="s">
        <v>50</v>
      </c>
      <c r="B14" s="90" t="s">
        <v>72</v>
      </c>
      <c r="C14" s="85"/>
      <c r="D14" s="25">
        <v>11</v>
      </c>
      <c r="E14" s="24"/>
      <c r="F14" s="24"/>
      <c r="G14" s="25">
        <f>5*52/12</f>
        <v>21.67</v>
      </c>
      <c r="H14" s="14">
        <f t="shared" si="0"/>
        <v>0</v>
      </c>
      <c r="I14" s="16">
        <v>23</v>
      </c>
      <c r="J14" s="14">
        <f t="shared" si="1"/>
        <v>0</v>
      </c>
    </row>
    <row r="15" spans="1:10" ht="12.75" customHeight="1">
      <c r="A15" s="13" t="s">
        <v>52</v>
      </c>
      <c r="B15" s="90" t="s">
        <v>169</v>
      </c>
      <c r="C15" s="85"/>
      <c r="D15" s="25">
        <v>11</v>
      </c>
      <c r="E15" s="24"/>
      <c r="F15" s="24"/>
      <c r="G15" s="25">
        <v>1</v>
      </c>
      <c r="H15" s="14">
        <f t="shared" si="0"/>
        <v>0</v>
      </c>
      <c r="I15" s="16">
        <v>23</v>
      </c>
      <c r="J15" s="14">
        <f t="shared" si="1"/>
        <v>0</v>
      </c>
    </row>
    <row r="16" spans="1:10" ht="25.5" customHeight="1">
      <c r="A16" s="13" t="s">
        <v>73</v>
      </c>
      <c r="B16" s="90" t="s">
        <v>88</v>
      </c>
      <c r="C16" s="85"/>
      <c r="D16" s="25">
        <v>47.16</v>
      </c>
      <c r="E16" s="24"/>
      <c r="F16" s="24"/>
      <c r="G16" s="25">
        <f>5*52/12</f>
        <v>21.67</v>
      </c>
      <c r="H16" s="14">
        <f t="shared" si="0"/>
        <v>0</v>
      </c>
      <c r="I16" s="16">
        <v>23</v>
      </c>
      <c r="J16" s="14">
        <f t="shared" si="1"/>
        <v>0</v>
      </c>
    </row>
    <row r="17" spans="1:10" ht="12.75" customHeight="1">
      <c r="A17" s="13" t="s">
        <v>75</v>
      </c>
      <c r="B17" s="90" t="s">
        <v>59</v>
      </c>
      <c r="C17" s="85"/>
      <c r="D17" s="25">
        <v>82.2</v>
      </c>
      <c r="E17" s="24"/>
      <c r="F17" s="24"/>
      <c r="G17" s="25">
        <f>4/12</f>
        <v>0.33</v>
      </c>
      <c r="H17" s="14">
        <f t="shared" si="0"/>
        <v>0</v>
      </c>
      <c r="I17" s="16">
        <v>23</v>
      </c>
      <c r="J17" s="14">
        <f t="shared" si="1"/>
        <v>0</v>
      </c>
    </row>
    <row r="18" spans="1:10" ht="25.5" customHeight="1">
      <c r="A18" s="13" t="s">
        <v>77</v>
      </c>
      <c r="B18" s="90" t="s">
        <v>89</v>
      </c>
      <c r="C18" s="85"/>
      <c r="D18" s="25">
        <v>22.5</v>
      </c>
      <c r="E18" s="24"/>
      <c r="F18" s="24"/>
      <c r="G18" s="25">
        <f>5*2*52/12</f>
        <v>43.33</v>
      </c>
      <c r="H18" s="14">
        <f t="shared" si="0"/>
        <v>0</v>
      </c>
      <c r="I18" s="16">
        <v>23</v>
      </c>
      <c r="J18" s="14">
        <f t="shared" si="1"/>
        <v>0</v>
      </c>
    </row>
    <row r="19" spans="1:10" ht="12.75" customHeight="1">
      <c r="A19" s="13" t="s">
        <v>79</v>
      </c>
      <c r="B19" s="90" t="s">
        <v>76</v>
      </c>
      <c r="C19" s="85"/>
      <c r="D19" s="24"/>
      <c r="E19" s="24"/>
      <c r="F19" s="25">
        <v>1</v>
      </c>
      <c r="G19" s="25">
        <v>1</v>
      </c>
      <c r="H19" s="14">
        <f t="shared" si="0"/>
        <v>0</v>
      </c>
      <c r="I19" s="16">
        <v>23</v>
      </c>
      <c r="J19" s="14">
        <f t="shared" si="1"/>
        <v>0</v>
      </c>
    </row>
    <row r="20" spans="1:10" ht="25.5" customHeight="1" thickBot="1">
      <c r="A20" s="13" t="s">
        <v>80</v>
      </c>
      <c r="B20" s="90" t="s">
        <v>170</v>
      </c>
      <c r="C20" s="85"/>
      <c r="D20" s="24"/>
      <c r="E20" s="25">
        <v>1</v>
      </c>
      <c r="F20" s="24"/>
      <c r="G20" s="25">
        <f>7*52/12</f>
        <v>30.33</v>
      </c>
      <c r="H20" s="14">
        <f t="shared" si="0"/>
        <v>0</v>
      </c>
      <c r="I20" s="16">
        <v>23</v>
      </c>
      <c r="J20" s="117">
        <f t="shared" si="1"/>
        <v>0</v>
      </c>
    </row>
    <row r="21" spans="1:10" ht="13.5" thickBot="1">
      <c r="A21" s="29"/>
      <c r="B21" s="41" t="s">
        <v>63</v>
      </c>
      <c r="C21" s="20" t="s">
        <v>54</v>
      </c>
      <c r="D21" s="20" t="s">
        <v>54</v>
      </c>
      <c r="E21" s="20" t="s">
        <v>54</v>
      </c>
      <c r="F21" s="20" t="s">
        <v>54</v>
      </c>
      <c r="G21" s="20" t="s">
        <v>54</v>
      </c>
      <c r="H21" s="20" t="s">
        <v>54</v>
      </c>
      <c r="I21" s="116" t="s">
        <v>54</v>
      </c>
      <c r="J21" s="105">
        <f>SUM(J4:J20)</f>
        <v>0</v>
      </c>
    </row>
  </sheetData>
  <sheetProtection/>
  <mergeCells count="5">
    <mergeCell ref="D1:F1"/>
    <mergeCell ref="A4:A6"/>
    <mergeCell ref="B4:B6"/>
    <mergeCell ref="A7:A8"/>
    <mergeCell ref="B7:B8"/>
  </mergeCells>
  <printOptions/>
  <pageMargins left="0.7480314960629921" right="0.7480314960629921" top="0.59" bottom="0.5118110236220472" header="0.5118110236220472" footer="0.5118110236220472"/>
  <pageSetup horizontalDpi="600" verticalDpi="600" orientation="landscape" paperSize="9" r:id="rId1"/>
  <headerFooter alignWithMargins="0"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1" customWidth="1"/>
    <col min="2" max="2" width="40.421875" style="31" customWidth="1"/>
    <col min="3" max="3" width="7.28125" style="31" customWidth="1"/>
    <col min="4" max="4" width="8.7109375" style="31" customWidth="1"/>
    <col min="5" max="5" width="4.57421875" style="31" customWidth="1"/>
    <col min="6" max="6" width="6.00390625" style="31" customWidth="1"/>
    <col min="7" max="7" width="15.140625" style="32" customWidth="1"/>
    <col min="8" max="8" width="11.421875" style="31" customWidth="1"/>
    <col min="9" max="9" width="4.7109375" style="31" customWidth="1"/>
    <col min="10" max="16384" width="9.140625" style="31" customWidth="1"/>
  </cols>
  <sheetData>
    <row r="1" spans="1:10" ht="12.75">
      <c r="A1" s="7"/>
      <c r="B1" s="33" t="s">
        <v>55</v>
      </c>
      <c r="C1" s="7"/>
      <c r="D1" s="137" t="s">
        <v>21</v>
      </c>
      <c r="E1" s="137"/>
      <c r="F1" s="137"/>
      <c r="G1" s="9"/>
      <c r="H1" s="7"/>
      <c r="I1" s="7"/>
      <c r="J1" s="7"/>
    </row>
    <row r="2" spans="1:10" s="34" customFormat="1" ht="39.75" customHeight="1">
      <c r="A2" s="12" t="s">
        <v>227</v>
      </c>
      <c r="B2" s="13" t="s">
        <v>22</v>
      </c>
      <c r="C2" s="17" t="s">
        <v>23</v>
      </c>
      <c r="D2" s="17" t="s">
        <v>24</v>
      </c>
      <c r="E2" s="17" t="s">
        <v>25</v>
      </c>
      <c r="F2" s="17" t="s">
        <v>26</v>
      </c>
      <c r="G2" s="14" t="s">
        <v>27</v>
      </c>
      <c r="H2" s="29" t="s">
        <v>28</v>
      </c>
      <c r="I2" s="29" t="s">
        <v>29</v>
      </c>
      <c r="J2" s="17" t="s">
        <v>2</v>
      </c>
    </row>
    <row r="3" spans="1:10" s="34" customFormat="1" ht="25.5">
      <c r="A3" s="13"/>
      <c r="B3" s="29"/>
      <c r="C3" s="12" t="s">
        <v>30</v>
      </c>
      <c r="D3" s="16" t="s">
        <v>31</v>
      </c>
      <c r="E3" s="16" t="s">
        <v>32</v>
      </c>
      <c r="F3" s="16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s="34" customFormat="1" ht="25.5">
      <c r="A4" s="13" t="s">
        <v>36</v>
      </c>
      <c r="B4" s="17" t="s">
        <v>56</v>
      </c>
      <c r="C4" s="35"/>
      <c r="D4" s="29">
        <v>176.77</v>
      </c>
      <c r="E4" s="36"/>
      <c r="F4" s="36"/>
      <c r="G4" s="15">
        <f>(7*52)/12</f>
        <v>30.33</v>
      </c>
      <c r="H4" s="14"/>
      <c r="I4" s="16">
        <v>23</v>
      </c>
      <c r="J4" s="28"/>
    </row>
    <row r="5" spans="1:11" s="34" customFormat="1" ht="24" customHeight="1">
      <c r="A5" s="13" t="s">
        <v>38</v>
      </c>
      <c r="B5" s="37" t="s">
        <v>57</v>
      </c>
      <c r="C5" s="38"/>
      <c r="D5" s="29">
        <v>966.65</v>
      </c>
      <c r="E5" s="36"/>
      <c r="F5" s="36"/>
      <c r="G5" s="15">
        <f>5*52/12</f>
        <v>21.67</v>
      </c>
      <c r="H5" s="14"/>
      <c r="I5" s="16">
        <v>23</v>
      </c>
      <c r="J5" s="14"/>
      <c r="K5" s="39"/>
    </row>
    <row r="6" spans="1:10" s="34" customFormat="1" ht="15" customHeight="1">
      <c r="A6" s="13" t="s">
        <v>40</v>
      </c>
      <c r="B6" s="37" t="s">
        <v>58</v>
      </c>
      <c r="C6" s="38"/>
      <c r="D6" s="35">
        <v>6.5</v>
      </c>
      <c r="E6" s="36"/>
      <c r="F6" s="36"/>
      <c r="G6" s="15">
        <f>(1*52)/12</f>
        <v>4.33</v>
      </c>
      <c r="H6" s="14"/>
      <c r="I6" s="16">
        <v>23</v>
      </c>
      <c r="J6" s="14"/>
    </row>
    <row r="7" spans="1:10" s="34" customFormat="1" ht="15" customHeight="1">
      <c r="A7" s="13" t="s">
        <v>42</v>
      </c>
      <c r="B7" s="37" t="s">
        <v>59</v>
      </c>
      <c r="C7" s="38"/>
      <c r="D7" s="29">
        <f>80.63+6.5</f>
        <v>87.13</v>
      </c>
      <c r="E7" s="36"/>
      <c r="F7" s="36"/>
      <c r="G7" s="15">
        <f>4/12</f>
        <v>0.33</v>
      </c>
      <c r="H7" s="14"/>
      <c r="I7" s="16">
        <v>23</v>
      </c>
      <c r="J7" s="14"/>
    </row>
    <row r="8" spans="1:10" s="34" customFormat="1" ht="15.75" customHeight="1">
      <c r="A8" s="135" t="s">
        <v>44</v>
      </c>
      <c r="B8" s="138" t="s">
        <v>60</v>
      </c>
      <c r="C8" s="38"/>
      <c r="D8" s="29">
        <f>156.51-30.86</f>
        <v>125.65</v>
      </c>
      <c r="E8" s="36"/>
      <c r="F8" s="36"/>
      <c r="G8" s="25">
        <f>7*3*52/12</f>
        <v>91</v>
      </c>
      <c r="H8" s="14"/>
      <c r="I8" s="16">
        <v>23</v>
      </c>
      <c r="J8" s="14"/>
    </row>
    <row r="9" spans="1:10" s="34" customFormat="1" ht="17.25" customHeight="1">
      <c r="A9" s="135"/>
      <c r="B9" s="138"/>
      <c r="C9" s="38"/>
      <c r="D9" s="40">
        <f>12.02+14.05+4.79</f>
        <v>30.86</v>
      </c>
      <c r="E9" s="36"/>
      <c r="F9" s="36"/>
      <c r="G9" s="25">
        <f>7*9*52/12</f>
        <v>273</v>
      </c>
      <c r="H9" s="14"/>
      <c r="I9" s="16">
        <v>23</v>
      </c>
      <c r="J9" s="14"/>
    </row>
    <row r="10" spans="1:10" s="34" customFormat="1" ht="22.5" customHeight="1">
      <c r="A10" s="13" t="s">
        <v>46</v>
      </c>
      <c r="B10" s="37" t="s">
        <v>61</v>
      </c>
      <c r="C10" s="38"/>
      <c r="D10" s="29">
        <v>1393.56</v>
      </c>
      <c r="E10" s="36"/>
      <c r="F10" s="36"/>
      <c r="G10" s="15">
        <f>(7*52)/12</f>
        <v>30.33</v>
      </c>
      <c r="H10" s="14"/>
      <c r="I10" s="16">
        <v>23</v>
      </c>
      <c r="J10" s="14"/>
    </row>
    <row r="11" spans="1:10" s="34" customFormat="1" ht="22.5" customHeight="1" thickBot="1">
      <c r="A11" s="13" t="s">
        <v>48</v>
      </c>
      <c r="B11" s="37" t="s">
        <v>62</v>
      </c>
      <c r="C11" s="38"/>
      <c r="D11" s="36"/>
      <c r="E11" s="35">
        <v>7</v>
      </c>
      <c r="F11" s="36"/>
      <c r="G11" s="25">
        <f>7*52/12</f>
        <v>30.33</v>
      </c>
      <c r="H11" s="14"/>
      <c r="I11" s="16">
        <v>23</v>
      </c>
      <c r="J11" s="117"/>
    </row>
    <row r="12" spans="1:10" s="34" customFormat="1" ht="13.5" thickBot="1">
      <c r="A12" s="29"/>
      <c r="B12" s="41" t="s">
        <v>63</v>
      </c>
      <c r="C12" s="16"/>
      <c r="D12" s="16" t="s">
        <v>54</v>
      </c>
      <c r="E12" s="16" t="s">
        <v>54</v>
      </c>
      <c r="F12" s="16" t="s">
        <v>54</v>
      </c>
      <c r="G12" s="20" t="s">
        <v>54</v>
      </c>
      <c r="H12" s="16" t="s">
        <v>54</v>
      </c>
      <c r="I12" s="116" t="s">
        <v>54</v>
      </c>
      <c r="J12" s="105"/>
    </row>
    <row r="13" spans="7:10" s="34" customFormat="1" ht="12.75">
      <c r="G13" s="42"/>
      <c r="I13" s="18"/>
      <c r="J13" s="18"/>
    </row>
    <row r="14" spans="7:10" s="34" customFormat="1" ht="12.75">
      <c r="G14" s="42"/>
      <c r="I14" s="18"/>
      <c r="J14" s="18"/>
    </row>
    <row r="15" spans="7:10" s="34" customFormat="1" ht="12.75">
      <c r="G15" s="42"/>
      <c r="I15" s="18"/>
      <c r="J15" s="18"/>
    </row>
    <row r="16" spans="7:10" s="34" customFormat="1" ht="12.75">
      <c r="G16" s="42"/>
      <c r="I16" s="18"/>
      <c r="J16" s="18"/>
    </row>
    <row r="17" spans="7:10" s="34" customFormat="1" ht="12.75">
      <c r="G17" s="42"/>
      <c r="I17" s="18"/>
      <c r="J17" s="18"/>
    </row>
    <row r="18" spans="7:10" s="34" customFormat="1" ht="12.75">
      <c r="G18" s="42"/>
      <c r="I18" s="18"/>
      <c r="J18" s="18"/>
    </row>
    <row r="19" spans="7:10" s="34" customFormat="1" ht="12.75">
      <c r="G19" s="42"/>
      <c r="I19" s="18"/>
      <c r="J19" s="18"/>
    </row>
    <row r="20" s="34" customFormat="1" ht="12.75">
      <c r="G20" s="42"/>
    </row>
    <row r="21" s="34" customFormat="1" ht="12.75">
      <c r="G21" s="42"/>
    </row>
  </sheetData>
  <sheetProtection selectLockedCells="1" selectUnlockedCells="1"/>
  <mergeCells count="3">
    <mergeCell ref="D1:F1"/>
    <mergeCell ref="A8:A9"/>
    <mergeCell ref="B8:B9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r:id="rId1"/>
  <headerFooter alignWithMargins="0"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212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250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1447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11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5" t="s">
        <v>197</v>
      </c>
      <c r="C7" s="106"/>
      <c r="D7" s="109"/>
      <c r="E7" s="106">
        <v>155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198</v>
      </c>
      <c r="C8" s="106"/>
      <c r="D8" s="107">
        <v>200</v>
      </c>
      <c r="E8" s="109"/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6" t="s">
        <v>199</v>
      </c>
      <c r="C9" s="106"/>
      <c r="D9" s="107">
        <v>1000</v>
      </c>
      <c r="E9" s="109"/>
      <c r="F9" s="109"/>
      <c r="G9" s="110">
        <v>0.5</v>
      </c>
      <c r="H9" s="106"/>
      <c r="I9" s="110">
        <v>8</v>
      </c>
      <c r="J9" s="106"/>
    </row>
    <row r="10" spans="1:10" ht="13.5" thickBot="1">
      <c r="A10" s="13" t="s">
        <v>46</v>
      </c>
      <c r="B10" s="94" t="s">
        <v>200</v>
      </c>
      <c r="C10" s="106"/>
      <c r="D10" s="107">
        <v>1247</v>
      </c>
      <c r="E10" s="109"/>
      <c r="F10" s="109"/>
      <c r="G10" s="110">
        <v>1</v>
      </c>
      <c r="H10" s="106"/>
      <c r="I10" s="110">
        <v>8</v>
      </c>
      <c r="J10" s="108"/>
    </row>
    <row r="11" spans="1:10" ht="13.5" thickBot="1">
      <c r="A11" s="26"/>
      <c r="B11" s="41" t="s">
        <v>63</v>
      </c>
      <c r="C11" s="100" t="s">
        <v>54</v>
      </c>
      <c r="D11" s="101" t="s">
        <v>54</v>
      </c>
      <c r="E11" s="101" t="s">
        <v>54</v>
      </c>
      <c r="F11" s="101" t="s">
        <v>54</v>
      </c>
      <c r="G11" s="101" t="s">
        <v>54</v>
      </c>
      <c r="H11" s="100" t="s">
        <v>54</v>
      </c>
      <c r="I11" s="104" t="s">
        <v>54</v>
      </c>
      <c r="J11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171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39" customHeight="1">
      <c r="A2" s="12" t="s">
        <v>251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163</v>
      </c>
      <c r="H2" s="15" t="s">
        <v>28</v>
      </c>
      <c r="I2" s="16" t="s">
        <v>29</v>
      </c>
      <c r="J2" s="17" t="s">
        <v>2</v>
      </c>
    </row>
    <row r="3" spans="1:10" ht="15.75" customHeight="1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19" t="s">
        <v>164</v>
      </c>
      <c r="H3" s="20" t="s">
        <v>30</v>
      </c>
      <c r="I3" s="16" t="s">
        <v>35</v>
      </c>
      <c r="J3" s="16" t="s">
        <v>30</v>
      </c>
    </row>
    <row r="4" spans="1:10" ht="51" customHeight="1">
      <c r="A4" s="13" t="s">
        <v>82</v>
      </c>
      <c r="B4" s="26" t="s">
        <v>172</v>
      </c>
      <c r="C4" s="14"/>
      <c r="D4" s="25">
        <v>1660</v>
      </c>
      <c r="E4" s="24"/>
      <c r="F4" s="24"/>
      <c r="G4" s="25">
        <f>2/12</f>
        <v>0.17</v>
      </c>
      <c r="H4" s="14">
        <f aca="true" t="shared" si="0" ref="H4:H10">IF(D4&gt;0,C4*D4*G4,IF(E4&gt;0,C4*E4*G4,IF(F4&gt;0,C4*F4*G4,0)))</f>
        <v>0</v>
      </c>
      <c r="I4" s="16">
        <v>8</v>
      </c>
      <c r="J4" s="28">
        <f aca="true" t="shared" si="1" ref="J4:J10">H4*I4/100+H4</f>
        <v>0</v>
      </c>
    </row>
    <row r="5" spans="1:10" ht="38.25" customHeight="1">
      <c r="A5" s="13" t="s">
        <v>38</v>
      </c>
      <c r="B5" s="88" t="s">
        <v>113</v>
      </c>
      <c r="C5" s="14"/>
      <c r="D5" s="25">
        <v>1660</v>
      </c>
      <c r="E5" s="24"/>
      <c r="F5" s="24"/>
      <c r="G5" s="14">
        <f>60/12</f>
        <v>5</v>
      </c>
      <c r="H5" s="14">
        <f t="shared" si="0"/>
        <v>0</v>
      </c>
      <c r="I5" s="16">
        <v>8</v>
      </c>
      <c r="J5" s="14">
        <f t="shared" si="1"/>
        <v>0</v>
      </c>
    </row>
    <row r="6" spans="1:10" ht="38.25" customHeight="1">
      <c r="A6" s="13" t="s">
        <v>40</v>
      </c>
      <c r="B6" s="26" t="s">
        <v>114</v>
      </c>
      <c r="C6" s="14"/>
      <c r="D6" s="25">
        <v>1660</v>
      </c>
      <c r="E6" s="24"/>
      <c r="F6" s="24"/>
      <c r="G6" s="14">
        <f>45/12</f>
        <v>3.75</v>
      </c>
      <c r="H6" s="14">
        <f t="shared" si="0"/>
        <v>0</v>
      </c>
      <c r="I6" s="16">
        <v>8</v>
      </c>
      <c r="J6" s="14">
        <f t="shared" si="1"/>
        <v>0</v>
      </c>
    </row>
    <row r="7" spans="1:10" ht="12.75" customHeight="1">
      <c r="A7" s="13" t="s">
        <v>42</v>
      </c>
      <c r="B7" s="23" t="s">
        <v>47</v>
      </c>
      <c r="C7" s="14"/>
      <c r="D7" s="24"/>
      <c r="E7" s="25">
        <v>23</v>
      </c>
      <c r="F7" s="24"/>
      <c r="G7" s="14">
        <v>1</v>
      </c>
      <c r="H7" s="14">
        <f t="shared" si="0"/>
        <v>0</v>
      </c>
      <c r="I7" s="16">
        <v>8</v>
      </c>
      <c r="J7" s="14">
        <f t="shared" si="1"/>
        <v>0</v>
      </c>
    </row>
    <row r="8" spans="1:10" ht="25.5" customHeight="1">
      <c r="A8" s="13" t="s">
        <v>44</v>
      </c>
      <c r="B8" s="17" t="s">
        <v>173</v>
      </c>
      <c r="C8" s="14"/>
      <c r="D8" s="24"/>
      <c r="E8" s="25">
        <v>3</v>
      </c>
      <c r="F8" s="24"/>
      <c r="G8" s="15">
        <f>5*52/12</f>
        <v>21.67</v>
      </c>
      <c r="H8" s="14">
        <f t="shared" si="0"/>
        <v>0</v>
      </c>
      <c r="I8" s="16">
        <v>8</v>
      </c>
      <c r="J8" s="14">
        <f t="shared" si="1"/>
        <v>0</v>
      </c>
    </row>
    <row r="9" spans="1:10" ht="12.75" customHeight="1">
      <c r="A9" s="13" t="s">
        <v>46</v>
      </c>
      <c r="B9" s="23" t="s">
        <v>74</v>
      </c>
      <c r="C9" s="14"/>
      <c r="D9" s="24"/>
      <c r="E9" s="15">
        <v>3</v>
      </c>
      <c r="F9" s="24"/>
      <c r="G9" s="15">
        <v>1</v>
      </c>
      <c r="H9" s="14">
        <f t="shared" si="0"/>
        <v>0</v>
      </c>
      <c r="I9" s="16">
        <v>8</v>
      </c>
      <c r="J9" s="14">
        <f t="shared" si="1"/>
        <v>0</v>
      </c>
    </row>
    <row r="10" spans="1:10" ht="12.75" customHeight="1" thickBot="1">
      <c r="A10" s="13" t="s">
        <v>48</v>
      </c>
      <c r="B10" s="23" t="s">
        <v>76</v>
      </c>
      <c r="C10" s="14"/>
      <c r="D10" s="24"/>
      <c r="E10" s="24"/>
      <c r="F10" s="25">
        <v>1</v>
      </c>
      <c r="G10" s="15">
        <v>1</v>
      </c>
      <c r="H10" s="14">
        <f t="shared" si="0"/>
        <v>0</v>
      </c>
      <c r="I10" s="16">
        <v>8</v>
      </c>
      <c r="J10" s="117">
        <f t="shared" si="1"/>
        <v>0</v>
      </c>
    </row>
    <row r="11" spans="1:10" ht="13.5" thickBot="1">
      <c r="A11" s="29"/>
      <c r="B11" s="41" t="s">
        <v>63</v>
      </c>
      <c r="C11" s="20" t="s">
        <v>54</v>
      </c>
      <c r="D11" s="20" t="s">
        <v>54</v>
      </c>
      <c r="E11" s="20" t="s">
        <v>54</v>
      </c>
      <c r="F11" s="20" t="s">
        <v>54</v>
      </c>
      <c r="G11" s="20" t="s">
        <v>54</v>
      </c>
      <c r="H11" s="20" t="s">
        <v>54</v>
      </c>
      <c r="I11" s="116" t="s">
        <v>54</v>
      </c>
      <c r="J11" s="105">
        <f>SUM(J4:J10)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174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39" customHeight="1">
      <c r="A2" s="62" t="s">
        <v>252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163</v>
      </c>
      <c r="H2" s="15" t="s">
        <v>28</v>
      </c>
      <c r="I2" s="16" t="s">
        <v>29</v>
      </c>
      <c r="J2" s="17" t="s">
        <v>2</v>
      </c>
    </row>
    <row r="3" spans="1:10" ht="15.75" customHeight="1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19" t="s">
        <v>164</v>
      </c>
      <c r="H3" s="20" t="s">
        <v>30</v>
      </c>
      <c r="I3" s="16" t="s">
        <v>35</v>
      </c>
      <c r="J3" s="16" t="s">
        <v>30</v>
      </c>
    </row>
    <row r="4" spans="1:10" ht="39.75" customHeight="1">
      <c r="A4" s="13" t="s">
        <v>36</v>
      </c>
      <c r="B4" s="64" t="s">
        <v>175</v>
      </c>
      <c r="C4" s="14"/>
      <c r="D4" s="25">
        <f>280+85.12</f>
        <v>365.12</v>
      </c>
      <c r="E4" s="24"/>
      <c r="F4" s="24"/>
      <c r="G4" s="15">
        <f>(5*52)/12</f>
        <v>21.67</v>
      </c>
      <c r="H4" s="14">
        <f aca="true" t="shared" si="0" ref="H4:H15">IF(D4&gt;0,C4*D4*G4,IF(E4&gt;0,C4*E4*G4,IF(F4&gt;0,C4*F4*G4,0)))</f>
        <v>0</v>
      </c>
      <c r="I4" s="16">
        <v>23</v>
      </c>
      <c r="J4" s="28">
        <f aca="true" t="shared" si="1" ref="J4:J15">H4*I4/100+H4</f>
        <v>0</v>
      </c>
    </row>
    <row r="5" spans="1:10" ht="12.75" customHeight="1">
      <c r="A5" s="13" t="s">
        <v>38</v>
      </c>
      <c r="B5" s="64" t="s">
        <v>59</v>
      </c>
      <c r="C5" s="14"/>
      <c r="D5" s="25">
        <v>3.75</v>
      </c>
      <c r="E5" s="24"/>
      <c r="F5" s="24"/>
      <c r="G5" s="15">
        <f>2/12</f>
        <v>0.17</v>
      </c>
      <c r="H5" s="14">
        <f t="shared" si="0"/>
        <v>0</v>
      </c>
      <c r="I5" s="16">
        <v>23</v>
      </c>
      <c r="J5" s="14">
        <f t="shared" si="1"/>
        <v>0</v>
      </c>
    </row>
    <row r="6" spans="1:10" ht="23.25" customHeight="1">
      <c r="A6" s="13" t="s">
        <v>40</v>
      </c>
      <c r="B6" s="91" t="s">
        <v>103</v>
      </c>
      <c r="C6" s="14"/>
      <c r="D6" s="24"/>
      <c r="E6" s="25">
        <v>3</v>
      </c>
      <c r="F6" s="24"/>
      <c r="G6" s="25">
        <f>5*3*52/12</f>
        <v>65</v>
      </c>
      <c r="H6" s="14">
        <f t="shared" si="0"/>
        <v>0</v>
      </c>
      <c r="I6" s="16">
        <v>23</v>
      </c>
      <c r="J6" s="14">
        <f t="shared" si="1"/>
        <v>0</v>
      </c>
    </row>
    <row r="7" spans="1:10" ht="24.75" customHeight="1">
      <c r="A7" s="13" t="s">
        <v>42</v>
      </c>
      <c r="B7" s="65" t="s">
        <v>176</v>
      </c>
      <c r="C7" s="14"/>
      <c r="D7" s="24"/>
      <c r="E7" s="25">
        <v>6</v>
      </c>
      <c r="F7" s="24"/>
      <c r="G7" s="15">
        <f>5*52/12</f>
        <v>21.67</v>
      </c>
      <c r="H7" s="14">
        <f t="shared" si="0"/>
        <v>0</v>
      </c>
      <c r="I7" s="16">
        <v>8</v>
      </c>
      <c r="J7" s="14">
        <f t="shared" si="1"/>
        <v>0</v>
      </c>
    </row>
    <row r="8" spans="1:10" ht="12.75" customHeight="1">
      <c r="A8" s="13" t="s">
        <v>44</v>
      </c>
      <c r="B8" s="64" t="s">
        <v>74</v>
      </c>
      <c r="C8" s="14"/>
      <c r="D8" s="24"/>
      <c r="E8" s="25">
        <v>6</v>
      </c>
      <c r="F8" s="24"/>
      <c r="G8" s="14">
        <v>1</v>
      </c>
      <c r="H8" s="14">
        <f t="shared" si="0"/>
        <v>0</v>
      </c>
      <c r="I8" s="16">
        <v>8</v>
      </c>
      <c r="J8" s="14">
        <f t="shared" si="1"/>
        <v>0</v>
      </c>
    </row>
    <row r="9" spans="1:10" ht="39.75" customHeight="1">
      <c r="A9" s="13" t="s">
        <v>46</v>
      </c>
      <c r="B9" s="65" t="s">
        <v>177</v>
      </c>
      <c r="C9" s="14"/>
      <c r="D9" s="24"/>
      <c r="E9" s="24"/>
      <c r="F9" s="25">
        <v>1</v>
      </c>
      <c r="G9" s="15">
        <v>1</v>
      </c>
      <c r="H9" s="14">
        <f t="shared" si="0"/>
        <v>0</v>
      </c>
      <c r="I9" s="16">
        <v>8</v>
      </c>
      <c r="J9" s="14">
        <f t="shared" si="1"/>
        <v>0</v>
      </c>
    </row>
    <row r="10" spans="1:10" ht="12.75" customHeight="1">
      <c r="A10" s="13" t="s">
        <v>48</v>
      </c>
      <c r="B10" s="63" t="s">
        <v>105</v>
      </c>
      <c r="C10" s="14"/>
      <c r="D10" s="24"/>
      <c r="E10" s="25">
        <v>2</v>
      </c>
      <c r="F10" s="24"/>
      <c r="G10" s="28">
        <f>1/12</f>
        <v>0.08</v>
      </c>
      <c r="H10" s="14">
        <f t="shared" si="0"/>
        <v>0</v>
      </c>
      <c r="I10" s="16">
        <v>8</v>
      </c>
      <c r="J10" s="14">
        <f t="shared" si="1"/>
        <v>0</v>
      </c>
    </row>
    <row r="11" spans="1:10" ht="12.75" customHeight="1">
      <c r="A11" s="13" t="s">
        <v>50</v>
      </c>
      <c r="B11" s="64" t="s">
        <v>106</v>
      </c>
      <c r="C11" s="14"/>
      <c r="D11" s="24"/>
      <c r="E11" s="25">
        <v>2</v>
      </c>
      <c r="F11" s="24"/>
      <c r="G11" s="28">
        <f>2/12</f>
        <v>0.17</v>
      </c>
      <c r="H11" s="14">
        <f t="shared" si="0"/>
        <v>0</v>
      </c>
      <c r="I11" s="16">
        <v>8</v>
      </c>
      <c r="J11" s="14">
        <f t="shared" si="1"/>
        <v>0</v>
      </c>
    </row>
    <row r="12" spans="1:10" ht="24.75" customHeight="1">
      <c r="A12" s="13" t="s">
        <v>52</v>
      </c>
      <c r="B12" s="64" t="s">
        <v>178</v>
      </c>
      <c r="C12" s="14"/>
      <c r="D12" s="66">
        <f>756+250+85.12</f>
        <v>1091.12</v>
      </c>
      <c r="E12" s="24"/>
      <c r="F12" s="24"/>
      <c r="G12" s="14">
        <f>60/12</f>
        <v>5</v>
      </c>
      <c r="H12" s="14">
        <f t="shared" si="0"/>
        <v>0</v>
      </c>
      <c r="I12" s="16">
        <v>8</v>
      </c>
      <c r="J12" s="14">
        <f t="shared" si="1"/>
        <v>0</v>
      </c>
    </row>
    <row r="13" spans="1:10" ht="12.75" customHeight="1">
      <c r="A13" s="13" t="s">
        <v>73</v>
      </c>
      <c r="B13" s="64" t="s">
        <v>179</v>
      </c>
      <c r="C13" s="14"/>
      <c r="D13" s="66">
        <f>D12</f>
        <v>1091.12</v>
      </c>
      <c r="E13" s="24"/>
      <c r="F13" s="24"/>
      <c r="G13" s="14">
        <f>45/12</f>
        <v>3.75</v>
      </c>
      <c r="H13" s="14">
        <f t="shared" si="0"/>
        <v>0</v>
      </c>
      <c r="I13" s="16">
        <v>8</v>
      </c>
      <c r="J13" s="14">
        <f t="shared" si="1"/>
        <v>0</v>
      </c>
    </row>
    <row r="14" spans="1:10" ht="12.75" customHeight="1">
      <c r="A14" s="13" t="s">
        <v>75</v>
      </c>
      <c r="B14" s="63" t="s">
        <v>109</v>
      </c>
      <c r="C14" s="14"/>
      <c r="D14" s="24"/>
      <c r="E14" s="25">
        <v>79</v>
      </c>
      <c r="F14" s="24"/>
      <c r="G14" s="14">
        <v>1</v>
      </c>
      <c r="H14" s="14">
        <f t="shared" si="0"/>
        <v>0</v>
      </c>
      <c r="I14" s="16">
        <v>23</v>
      </c>
      <c r="J14" s="14">
        <f t="shared" si="1"/>
        <v>0</v>
      </c>
    </row>
    <row r="15" spans="1:10" ht="12.75" customHeight="1" thickBot="1">
      <c r="A15" s="13" t="s">
        <v>77</v>
      </c>
      <c r="B15" s="65" t="s">
        <v>180</v>
      </c>
      <c r="C15" s="14"/>
      <c r="D15" s="25">
        <f>756+250+800</f>
        <v>1806</v>
      </c>
      <c r="E15" s="24"/>
      <c r="F15" s="24"/>
      <c r="G15" s="15">
        <f>1*52/12</f>
        <v>4.33</v>
      </c>
      <c r="H15" s="14">
        <f t="shared" si="0"/>
        <v>0</v>
      </c>
      <c r="I15" s="16">
        <v>8</v>
      </c>
      <c r="J15" s="117">
        <f t="shared" si="1"/>
        <v>0</v>
      </c>
    </row>
    <row r="16" spans="1:10" ht="13.5" thickBot="1">
      <c r="A16" s="29"/>
      <c r="B16" s="41" t="s">
        <v>63</v>
      </c>
      <c r="C16" s="20" t="s">
        <v>54</v>
      </c>
      <c r="D16" s="20" t="s">
        <v>54</v>
      </c>
      <c r="E16" s="20" t="s">
        <v>54</v>
      </c>
      <c r="F16" s="20" t="s">
        <v>54</v>
      </c>
      <c r="G16" s="20" t="s">
        <v>54</v>
      </c>
      <c r="H16" s="20" t="s">
        <v>54</v>
      </c>
      <c r="I16" s="116" t="s">
        <v>54</v>
      </c>
      <c r="J16" s="105">
        <f>SUM(J4:J15)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25.5">
      <c r="A1" s="7"/>
      <c r="B1" s="52" t="s">
        <v>213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253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2600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5" t="s">
        <v>197</v>
      </c>
      <c r="C6" s="106"/>
      <c r="D6" s="109"/>
      <c r="E6" s="106">
        <v>84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44</v>
      </c>
      <c r="B7" s="95" t="s">
        <v>198</v>
      </c>
      <c r="C7" s="106"/>
      <c r="D7" s="107">
        <v>300</v>
      </c>
      <c r="E7" s="109"/>
      <c r="F7" s="109"/>
      <c r="G7" s="110">
        <v>1</v>
      </c>
      <c r="H7" s="106"/>
      <c r="I7" s="110">
        <v>8</v>
      </c>
      <c r="J7" s="106"/>
    </row>
    <row r="8" spans="1:10" ht="12.75">
      <c r="A8" s="13" t="s">
        <v>46</v>
      </c>
      <c r="B8" s="96" t="s">
        <v>199</v>
      </c>
      <c r="C8" s="106"/>
      <c r="D8" s="107">
        <v>1006</v>
      </c>
      <c r="E8" s="109"/>
      <c r="F8" s="109"/>
      <c r="G8" s="110">
        <v>0.5</v>
      </c>
      <c r="H8" s="106"/>
      <c r="I8" s="110">
        <v>8</v>
      </c>
      <c r="J8" s="106"/>
    </row>
    <row r="9" spans="1:10" ht="13.5" thickBot="1">
      <c r="A9" s="13" t="s">
        <v>48</v>
      </c>
      <c r="B9" s="94" t="s">
        <v>200</v>
      </c>
      <c r="C9" s="106"/>
      <c r="D9" s="107">
        <v>2300</v>
      </c>
      <c r="E9" s="109"/>
      <c r="F9" s="109"/>
      <c r="G9" s="110">
        <v>1</v>
      </c>
      <c r="H9" s="106"/>
      <c r="I9" s="110">
        <v>8</v>
      </c>
      <c r="J9" s="108"/>
    </row>
    <row r="10" spans="1:10" ht="13.5" thickBot="1">
      <c r="A10" s="26"/>
      <c r="B10" s="41" t="s">
        <v>63</v>
      </c>
      <c r="C10" s="100" t="s">
        <v>54</v>
      </c>
      <c r="D10" s="101" t="s">
        <v>54</v>
      </c>
      <c r="E10" s="101" t="s">
        <v>54</v>
      </c>
      <c r="F10" s="101" t="s">
        <v>54</v>
      </c>
      <c r="G10" s="101" t="s">
        <v>54</v>
      </c>
      <c r="H10" s="100" t="s">
        <v>54</v>
      </c>
      <c r="I10" s="104" t="s">
        <v>54</v>
      </c>
      <c r="J10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181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51">
      <c r="A2" s="12" t="s">
        <v>254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163</v>
      </c>
      <c r="H2" s="15" t="s">
        <v>28</v>
      </c>
      <c r="I2" s="16" t="s">
        <v>29</v>
      </c>
      <c r="J2" s="17" t="s">
        <v>2</v>
      </c>
    </row>
    <row r="3" spans="1:10" ht="15.75" customHeight="1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19" t="s">
        <v>164</v>
      </c>
      <c r="H3" s="20" t="s">
        <v>30</v>
      </c>
      <c r="I3" s="16" t="s">
        <v>35</v>
      </c>
      <c r="J3" s="16" t="s">
        <v>30</v>
      </c>
    </row>
    <row r="4" spans="1:10" ht="25.5">
      <c r="A4" s="13" t="s">
        <v>82</v>
      </c>
      <c r="B4" s="26" t="s">
        <v>182</v>
      </c>
      <c r="C4" s="14"/>
      <c r="D4" s="25">
        <v>343.99</v>
      </c>
      <c r="E4" s="24"/>
      <c r="F4" s="24"/>
      <c r="G4" s="25">
        <f>(5*52)/12</f>
        <v>21.67</v>
      </c>
      <c r="H4" s="14">
        <f>IF(D4&gt;0,C4*D4*G4,IF(E4&gt;0,C4*E4*G4,IF(F4&gt;0,C4*F4*G4,0)))</f>
        <v>0</v>
      </c>
      <c r="I4" s="16">
        <v>23</v>
      </c>
      <c r="J4" s="28">
        <f>H4*I4/100+H4</f>
        <v>0</v>
      </c>
    </row>
    <row r="5" spans="1:10" ht="12.75">
      <c r="A5" s="13" t="s">
        <v>38</v>
      </c>
      <c r="B5" s="26" t="s">
        <v>183</v>
      </c>
      <c r="C5" s="14"/>
      <c r="D5" s="25">
        <v>316.82</v>
      </c>
      <c r="E5" s="24"/>
      <c r="F5" s="24"/>
      <c r="G5" s="25">
        <f>(1*52)/12</f>
        <v>4.33</v>
      </c>
      <c r="H5" s="14">
        <f>IF(D5&gt;0,C5*D5*G5,IF(E5&gt;0,C5*E5*G5,IF(F5&gt;0,C5*F5*G5,0)))</f>
        <v>0</v>
      </c>
      <c r="I5" s="16">
        <v>23</v>
      </c>
      <c r="J5" s="14">
        <f>IF(F5&gt;0,E5*F5*I5,IF(G5&gt;0,E5*G5*I5,IF(H5&gt;0,E5*H5*I5,0)))</f>
        <v>0</v>
      </c>
    </row>
    <row r="6" spans="1:10" ht="29.25" customHeight="1">
      <c r="A6" s="13" t="s">
        <v>40</v>
      </c>
      <c r="B6" s="88" t="s">
        <v>184</v>
      </c>
      <c r="C6" s="14"/>
      <c r="D6" s="25">
        <v>38</v>
      </c>
      <c r="E6" s="24"/>
      <c r="F6" s="24"/>
      <c r="G6" s="14">
        <f>60/12</f>
        <v>5</v>
      </c>
      <c r="H6" s="14">
        <f>IF(D6&gt;0,C6*D6*G6,IF(E6&gt;0,C6*E6*G6,IF(F6&gt;0,C6*F6*G6,0)))</f>
        <v>0</v>
      </c>
      <c r="I6" s="16">
        <v>8</v>
      </c>
      <c r="J6" s="14">
        <f>H6*I6/100+H6</f>
        <v>0</v>
      </c>
    </row>
    <row r="7" spans="1:10" ht="18.75" customHeight="1">
      <c r="A7" s="13" t="s">
        <v>42</v>
      </c>
      <c r="B7" s="26" t="s">
        <v>185</v>
      </c>
      <c r="C7" s="14"/>
      <c r="D7" s="25">
        <v>38</v>
      </c>
      <c r="E7" s="24"/>
      <c r="F7" s="24"/>
      <c r="G7" s="14">
        <f>45/12</f>
        <v>3.75</v>
      </c>
      <c r="H7" s="14">
        <f>IF(D7&gt;0,C7*D7*G7,IF(E7&gt;0,C7*E7*G7,IF(F7&gt;0,C7*F7*G7,0)))</f>
        <v>0</v>
      </c>
      <c r="I7" s="16">
        <v>8</v>
      </c>
      <c r="J7" s="14">
        <f>H7*I7/100+H7</f>
        <v>0</v>
      </c>
    </row>
    <row r="8" spans="1:10" ht="26.25" thickBot="1">
      <c r="A8" s="13" t="s">
        <v>44</v>
      </c>
      <c r="B8" s="23" t="s">
        <v>186</v>
      </c>
      <c r="C8" s="14"/>
      <c r="D8" s="25">
        <v>38</v>
      </c>
      <c r="E8" s="92"/>
      <c r="F8" s="24"/>
      <c r="G8" s="14">
        <f>(5*52)/12</f>
        <v>21.67</v>
      </c>
      <c r="H8" s="14">
        <f>IF(D8&gt;0,C8*D8*G8,IF(E8&gt;0,C8*E8*G8,IF(F8&gt;0,C8*F8*G8,0)))</f>
        <v>0</v>
      </c>
      <c r="I8" s="16">
        <v>8</v>
      </c>
      <c r="J8" s="117">
        <f>H8*I8/100+H8</f>
        <v>0</v>
      </c>
    </row>
    <row r="9" spans="1:10" ht="13.5" thickBot="1">
      <c r="A9" s="29"/>
      <c r="B9" s="41" t="s">
        <v>63</v>
      </c>
      <c r="C9" s="20" t="s">
        <v>54</v>
      </c>
      <c r="D9" s="20" t="s">
        <v>54</v>
      </c>
      <c r="E9" s="20" t="s">
        <v>54</v>
      </c>
      <c r="F9" s="20" t="s">
        <v>54</v>
      </c>
      <c r="G9" s="20" t="s">
        <v>54</v>
      </c>
      <c r="H9" s="20" t="s">
        <v>54</v>
      </c>
      <c r="I9" s="116" t="s">
        <v>54</v>
      </c>
      <c r="J9" s="105">
        <f>SUM(J4:J8)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214</v>
      </c>
      <c r="C1" s="9"/>
      <c r="D1" s="134" t="s">
        <v>21</v>
      </c>
      <c r="E1" s="134"/>
      <c r="F1" s="134"/>
      <c r="G1" s="9"/>
      <c r="H1" s="9"/>
      <c r="I1" s="11"/>
      <c r="J1" s="7"/>
    </row>
    <row r="2" spans="1:10" ht="51">
      <c r="A2" s="12" t="s">
        <v>255</v>
      </c>
      <c r="B2" s="13" t="s">
        <v>22</v>
      </c>
      <c r="C2" s="14" t="s">
        <v>23</v>
      </c>
      <c r="D2" s="14" t="s">
        <v>24</v>
      </c>
      <c r="E2" s="14" t="s">
        <v>25</v>
      </c>
      <c r="F2" s="14" t="s">
        <v>26</v>
      </c>
      <c r="G2" s="14" t="s">
        <v>163</v>
      </c>
      <c r="H2" s="15" t="s">
        <v>28</v>
      </c>
      <c r="I2" s="16" t="s">
        <v>29</v>
      </c>
      <c r="J2" s="17" t="s">
        <v>2</v>
      </c>
    </row>
    <row r="3" spans="1:10" ht="15.75" customHeight="1">
      <c r="A3" s="13"/>
      <c r="B3" s="13"/>
      <c r="C3" s="19" t="s">
        <v>30</v>
      </c>
      <c r="D3" s="20" t="s">
        <v>31</v>
      </c>
      <c r="E3" s="20" t="s">
        <v>32</v>
      </c>
      <c r="F3" s="20" t="s">
        <v>33</v>
      </c>
      <c r="G3" s="19" t="s">
        <v>164</v>
      </c>
      <c r="H3" s="20" t="s">
        <v>30</v>
      </c>
      <c r="I3" s="16" t="s">
        <v>35</v>
      </c>
      <c r="J3" s="16" t="s">
        <v>30</v>
      </c>
    </row>
    <row r="4" spans="1:10" ht="41.25" customHeight="1">
      <c r="A4" s="13" t="s">
        <v>82</v>
      </c>
      <c r="B4" s="26" t="s">
        <v>215</v>
      </c>
      <c r="C4" s="14"/>
      <c r="D4" s="25">
        <v>2600</v>
      </c>
      <c r="E4" s="24"/>
      <c r="F4" s="24"/>
      <c r="G4" s="25">
        <f>(5*52)/12</f>
        <v>21.67</v>
      </c>
      <c r="H4" s="14">
        <f>IF(D4&gt;0,C4*D4*G4,IF(E4&gt;0,C4*E4*G4,IF(F4&gt;0,C4*F4*G4,0)))</f>
        <v>0</v>
      </c>
      <c r="I4" s="16">
        <v>8</v>
      </c>
      <c r="J4" s="28">
        <f>H4*I4/100+H4</f>
        <v>0</v>
      </c>
    </row>
    <row r="5" spans="1:10" ht="42.75" customHeight="1" thickBot="1">
      <c r="A5" s="13" t="s">
        <v>38</v>
      </c>
      <c r="B5" s="26" t="s">
        <v>216</v>
      </c>
      <c r="C5" s="14"/>
      <c r="D5" s="25">
        <v>2600</v>
      </c>
      <c r="E5" s="24"/>
      <c r="F5" s="24"/>
      <c r="G5" s="25">
        <f>(1*52)/12</f>
        <v>4.33</v>
      </c>
      <c r="H5" s="14">
        <f>IF(D5&gt;0,C5*D5*G5,IF(E5&gt;0,C5*E5*G5,IF(F5&gt;0,C5*F5*G5,0)))</f>
        <v>0</v>
      </c>
      <c r="I5" s="16">
        <v>8</v>
      </c>
      <c r="J5" s="121">
        <f>H5*I5/100+H5</f>
        <v>0</v>
      </c>
    </row>
    <row r="6" spans="1:10" ht="13.5" thickBot="1">
      <c r="A6" s="29"/>
      <c r="B6" s="41" t="s">
        <v>63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116" t="s">
        <v>54</v>
      </c>
      <c r="J6" s="105">
        <f>SUM(J4:J5)</f>
        <v>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31" customWidth="1"/>
    <col min="2" max="2" width="40.421875" style="31" customWidth="1"/>
    <col min="3" max="3" width="7.28125" style="31" customWidth="1"/>
    <col min="4" max="4" width="8.7109375" style="32" customWidth="1"/>
    <col min="5" max="5" width="5.7109375" style="32" customWidth="1"/>
    <col min="6" max="6" width="6.00390625" style="32" customWidth="1"/>
    <col min="7" max="7" width="15.140625" style="32" customWidth="1"/>
    <col min="8" max="8" width="11.421875" style="31" customWidth="1"/>
    <col min="9" max="9" width="4.7109375" style="43" customWidth="1"/>
    <col min="10" max="10" width="12.00390625" style="31" customWidth="1"/>
    <col min="11" max="16384" width="9.140625" style="31" customWidth="1"/>
  </cols>
  <sheetData>
    <row r="1" spans="1:10" ht="12.75">
      <c r="A1" s="7"/>
      <c r="B1" s="8" t="s">
        <v>64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s="34" customFormat="1" ht="37.5" customHeight="1">
      <c r="A2" s="12" t="s">
        <v>226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s="44" customFormat="1" ht="25.5">
      <c r="A3" s="13"/>
      <c r="B3" s="13"/>
      <c r="C3" s="12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s="44" customFormat="1" ht="24" customHeight="1">
      <c r="A4" s="143" t="s">
        <v>36</v>
      </c>
      <c r="B4" s="139" t="s">
        <v>161</v>
      </c>
      <c r="C4" s="141"/>
      <c r="D4" s="20">
        <v>4897.25</v>
      </c>
      <c r="E4" s="84"/>
      <c r="F4" s="84"/>
      <c r="G4" s="85">
        <f>52/12</f>
        <v>4.33</v>
      </c>
      <c r="H4" s="16"/>
      <c r="I4" s="16"/>
      <c r="J4" s="16"/>
    </row>
    <row r="5" spans="1:10" s="34" customFormat="1" ht="63.75" customHeight="1">
      <c r="A5" s="144"/>
      <c r="B5" s="140"/>
      <c r="C5" s="142"/>
      <c r="D5" s="15">
        <v>23012</v>
      </c>
      <c r="E5" s="24"/>
      <c r="F5" s="24"/>
      <c r="G5" s="25">
        <f>26/12</f>
        <v>2.17</v>
      </c>
      <c r="H5" s="14"/>
      <c r="I5" s="16">
        <v>8</v>
      </c>
      <c r="J5" s="28"/>
    </row>
    <row r="6" spans="1:10" s="34" customFormat="1" ht="51">
      <c r="A6" s="13" t="s">
        <v>38</v>
      </c>
      <c r="B6" s="23" t="s">
        <v>65</v>
      </c>
      <c r="C6" s="38"/>
      <c r="D6" s="15">
        <v>8247.12</v>
      </c>
      <c r="E6" s="24"/>
      <c r="F6" s="24"/>
      <c r="G6" s="14">
        <f>60/12</f>
        <v>5</v>
      </c>
      <c r="H6" s="14"/>
      <c r="I6" s="16">
        <v>8</v>
      </c>
      <c r="J6" s="14"/>
    </row>
    <row r="7" spans="1:10" s="34" customFormat="1" ht="51">
      <c r="A7" s="13" t="s">
        <v>40</v>
      </c>
      <c r="B7" s="23" t="s">
        <v>66</v>
      </c>
      <c r="C7" s="38"/>
      <c r="D7" s="15">
        <f>D6</f>
        <v>8247.12</v>
      </c>
      <c r="E7" s="24"/>
      <c r="F7" s="24"/>
      <c r="G7" s="14">
        <f>45/12</f>
        <v>3.75</v>
      </c>
      <c r="H7" s="14"/>
      <c r="I7" s="16">
        <v>8</v>
      </c>
      <c r="J7" s="28"/>
    </row>
    <row r="8" spans="1:10" s="34" customFormat="1" ht="25.5">
      <c r="A8" s="13" t="s">
        <v>42</v>
      </c>
      <c r="B8" s="45" t="s">
        <v>67</v>
      </c>
      <c r="C8" s="38"/>
      <c r="D8" s="15">
        <v>9053</v>
      </c>
      <c r="E8" s="24"/>
      <c r="F8" s="24"/>
      <c r="G8" s="28">
        <f>2/12</f>
        <v>0.17</v>
      </c>
      <c r="H8" s="14"/>
      <c r="I8" s="16">
        <v>8</v>
      </c>
      <c r="J8" s="14"/>
    </row>
    <row r="9" spans="1:10" s="34" customFormat="1" ht="15" customHeight="1">
      <c r="A9" s="13" t="s">
        <v>44</v>
      </c>
      <c r="B9" s="45" t="s">
        <v>68</v>
      </c>
      <c r="C9" s="38"/>
      <c r="D9" s="15">
        <v>2230.88</v>
      </c>
      <c r="E9" s="24"/>
      <c r="F9" s="24"/>
      <c r="G9" s="28">
        <f>2/12</f>
        <v>0.17</v>
      </c>
      <c r="H9" s="14"/>
      <c r="I9" s="16">
        <v>8</v>
      </c>
      <c r="J9" s="14"/>
    </row>
    <row r="10" spans="1:10" s="34" customFormat="1" ht="26.25" customHeight="1">
      <c r="A10" s="13" t="s">
        <v>46</v>
      </c>
      <c r="B10" s="46" t="s">
        <v>69</v>
      </c>
      <c r="C10" s="38"/>
      <c r="D10" s="24"/>
      <c r="E10" s="15">
        <v>474</v>
      </c>
      <c r="F10" s="24"/>
      <c r="G10" s="14">
        <v>1</v>
      </c>
      <c r="H10" s="14"/>
      <c r="I10" s="16">
        <v>8</v>
      </c>
      <c r="J10" s="14"/>
    </row>
    <row r="11" spans="1:10" s="34" customFormat="1" ht="25.5">
      <c r="A11" s="13" t="s">
        <v>48</v>
      </c>
      <c r="B11" s="23" t="s">
        <v>70</v>
      </c>
      <c r="C11" s="38"/>
      <c r="D11" s="15">
        <v>9053</v>
      </c>
      <c r="E11" s="24"/>
      <c r="F11" s="24"/>
      <c r="G11" s="28">
        <f>1/12</f>
        <v>0.08</v>
      </c>
      <c r="H11" s="14"/>
      <c r="I11" s="16">
        <v>8</v>
      </c>
      <c r="J11" s="14"/>
    </row>
    <row r="12" spans="1:10" s="34" customFormat="1" ht="15" customHeight="1">
      <c r="A12" s="13" t="s">
        <v>50</v>
      </c>
      <c r="B12" s="23" t="s">
        <v>71</v>
      </c>
      <c r="C12" s="38"/>
      <c r="D12" s="24"/>
      <c r="E12" s="24"/>
      <c r="F12" s="15">
        <v>1</v>
      </c>
      <c r="G12" s="28">
        <f>1/12</f>
        <v>0.08</v>
      </c>
      <c r="H12" s="14"/>
      <c r="I12" s="16">
        <v>8</v>
      </c>
      <c r="J12" s="14"/>
    </row>
    <row r="13" spans="1:10" s="34" customFormat="1" ht="25.5">
      <c r="A13" s="13" t="s">
        <v>52</v>
      </c>
      <c r="B13" s="23" t="s">
        <v>72</v>
      </c>
      <c r="C13" s="38"/>
      <c r="D13" s="24"/>
      <c r="E13" s="15">
        <v>97</v>
      </c>
      <c r="F13" s="24"/>
      <c r="G13" s="15">
        <f>7*52/12</f>
        <v>30.33</v>
      </c>
      <c r="H13" s="14"/>
      <c r="I13" s="16">
        <v>8</v>
      </c>
      <c r="J13" s="14"/>
    </row>
    <row r="14" spans="1:10" s="34" customFormat="1" ht="15" customHeight="1">
      <c r="A14" s="13" t="s">
        <v>73</v>
      </c>
      <c r="B14" s="47" t="s">
        <v>74</v>
      </c>
      <c r="C14" s="38"/>
      <c r="D14" s="24"/>
      <c r="E14" s="15">
        <v>97</v>
      </c>
      <c r="F14" s="24"/>
      <c r="G14" s="15">
        <v>1</v>
      </c>
      <c r="H14" s="14"/>
      <c r="I14" s="16">
        <v>8</v>
      </c>
      <c r="J14" s="14"/>
    </row>
    <row r="15" spans="1:10" s="34" customFormat="1" ht="15" customHeight="1">
      <c r="A15" s="13" t="s">
        <v>75</v>
      </c>
      <c r="B15" s="37" t="s">
        <v>76</v>
      </c>
      <c r="C15" s="38"/>
      <c r="D15" s="24"/>
      <c r="E15" s="24"/>
      <c r="F15" s="15">
        <v>1</v>
      </c>
      <c r="G15" s="15">
        <v>1</v>
      </c>
      <c r="H15" s="14"/>
      <c r="I15" s="16">
        <v>8</v>
      </c>
      <c r="J15" s="14"/>
    </row>
    <row r="16" spans="1:10" s="34" customFormat="1" ht="69" customHeight="1" thickBot="1">
      <c r="A16" s="13" t="s">
        <v>77</v>
      </c>
      <c r="B16" s="37" t="s">
        <v>78</v>
      </c>
      <c r="C16" s="38"/>
      <c r="D16" s="24"/>
      <c r="E16" s="24"/>
      <c r="F16" s="15">
        <v>1</v>
      </c>
      <c r="G16" s="15">
        <v>1</v>
      </c>
      <c r="H16" s="14"/>
      <c r="I16" s="16">
        <v>8</v>
      </c>
      <c r="J16" s="117"/>
    </row>
    <row r="17" spans="1:10" s="34" customFormat="1" ht="13.5" thickBot="1">
      <c r="A17" s="26"/>
      <c r="B17" s="41" t="s">
        <v>63</v>
      </c>
      <c r="C17" s="16" t="s">
        <v>54</v>
      </c>
      <c r="D17" s="20" t="s">
        <v>54</v>
      </c>
      <c r="E17" s="20" t="s">
        <v>54</v>
      </c>
      <c r="F17" s="20" t="s">
        <v>54</v>
      </c>
      <c r="G17" s="20" t="s">
        <v>54</v>
      </c>
      <c r="H17" s="16" t="s">
        <v>54</v>
      </c>
      <c r="I17" s="116" t="s">
        <v>54</v>
      </c>
      <c r="J17" s="105"/>
    </row>
    <row r="18" spans="1:9" s="34" customFormat="1" ht="12.75">
      <c r="A18" s="48"/>
      <c r="B18" s="48"/>
      <c r="C18" s="49"/>
      <c r="D18" s="42"/>
      <c r="E18" s="42"/>
      <c r="F18" s="42"/>
      <c r="G18" s="42"/>
      <c r="I18" s="44"/>
    </row>
    <row r="19" spans="1:9" s="34" customFormat="1" ht="12.75">
      <c r="A19" s="48"/>
      <c r="B19" s="48"/>
      <c r="C19" s="49"/>
      <c r="D19" s="42"/>
      <c r="E19" s="42"/>
      <c r="F19" s="42"/>
      <c r="G19" s="42"/>
      <c r="I19" s="44"/>
    </row>
    <row r="20" spans="1:3" ht="12.75">
      <c r="A20" s="50"/>
      <c r="B20" s="50"/>
      <c r="C20" s="51"/>
    </row>
    <row r="21" spans="1:3" ht="12.75">
      <c r="A21" s="50"/>
      <c r="B21" s="50"/>
      <c r="C21" s="51"/>
    </row>
    <row r="22" spans="1:3" ht="12.75">
      <c r="A22" s="50"/>
      <c r="B22" s="50"/>
      <c r="C22" s="51"/>
    </row>
    <row r="23" spans="1:3" ht="12.75">
      <c r="A23" s="50"/>
      <c r="B23" s="50"/>
      <c r="C23" s="51"/>
    </row>
  </sheetData>
  <sheetProtection selectLockedCells="1" selectUnlockedCells="1"/>
  <mergeCells count="4">
    <mergeCell ref="D1:F1"/>
    <mergeCell ref="B4:B5"/>
    <mergeCell ref="C4:C5"/>
    <mergeCell ref="A4:A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22.421875" style="0" customWidth="1"/>
    <col min="7" max="7" width="17.421875" style="0" customWidth="1"/>
  </cols>
  <sheetData>
    <row r="1" spans="1:10" ht="24.75" customHeight="1">
      <c r="A1" s="7"/>
      <c r="B1" s="52" t="s">
        <v>193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ht="34.5" customHeight="1">
      <c r="A2" s="12" t="s">
        <v>225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25.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1" t="s">
        <v>194</v>
      </c>
      <c r="C4" s="153"/>
      <c r="D4" s="154">
        <v>11546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44"/>
      <c r="B5" s="152"/>
      <c r="C5" s="153"/>
      <c r="D5" s="153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88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4" t="s">
        <v>196</v>
      </c>
      <c r="C7" s="106"/>
      <c r="D7" s="109"/>
      <c r="E7" s="106">
        <v>47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197</v>
      </c>
      <c r="C8" s="106"/>
      <c r="D8" s="109"/>
      <c r="E8" s="106">
        <v>4735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5" t="s">
        <v>198</v>
      </c>
      <c r="C9" s="106"/>
      <c r="D9" s="107">
        <v>1000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46</v>
      </c>
      <c r="B10" s="96" t="s">
        <v>199</v>
      </c>
      <c r="C10" s="106"/>
      <c r="D10" s="107">
        <v>2500</v>
      </c>
      <c r="E10" s="109"/>
      <c r="F10" s="109"/>
      <c r="G10" s="110">
        <v>0.5</v>
      </c>
      <c r="H10" s="106"/>
      <c r="I10" s="110">
        <v>8</v>
      </c>
      <c r="J10" s="106"/>
    </row>
    <row r="11" spans="1:10" ht="12.75">
      <c r="A11" s="13" t="s">
        <v>48</v>
      </c>
      <c r="B11" s="94" t="s">
        <v>200</v>
      </c>
      <c r="C11" s="106"/>
      <c r="D11" s="107">
        <v>9000</v>
      </c>
      <c r="E11" s="109"/>
      <c r="F11" s="109"/>
      <c r="G11" s="110">
        <v>1</v>
      </c>
      <c r="H11" s="106"/>
      <c r="I11" s="110">
        <v>8</v>
      </c>
      <c r="J11" s="106"/>
    </row>
    <row r="12" spans="1:10" ht="26.25" thickBot="1">
      <c r="A12" s="13" t="s">
        <v>50</v>
      </c>
      <c r="B12" s="94" t="s">
        <v>201</v>
      </c>
      <c r="C12" s="106"/>
      <c r="D12" s="109"/>
      <c r="E12" s="109"/>
      <c r="F12" s="106">
        <v>1</v>
      </c>
      <c r="G12" s="110">
        <v>1</v>
      </c>
      <c r="H12" s="106"/>
      <c r="I12" s="110">
        <v>8</v>
      </c>
      <c r="J12" s="108"/>
    </row>
    <row r="13" spans="1:10" ht="13.5" thickBot="1">
      <c r="A13" s="26"/>
      <c r="B13" s="41" t="s">
        <v>63</v>
      </c>
      <c r="C13" s="100" t="s">
        <v>54</v>
      </c>
      <c r="D13" s="101" t="s">
        <v>54</v>
      </c>
      <c r="E13" s="101" t="s">
        <v>54</v>
      </c>
      <c r="F13" s="101" t="s">
        <v>54</v>
      </c>
      <c r="G13" s="101" t="s">
        <v>54</v>
      </c>
      <c r="H13" s="100" t="s">
        <v>54</v>
      </c>
      <c r="I13" s="104" t="s">
        <v>54</v>
      </c>
      <c r="J13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31" customWidth="1"/>
    <col min="2" max="2" width="40.421875" style="31" customWidth="1"/>
    <col min="3" max="3" width="7.28125" style="31" customWidth="1"/>
    <col min="4" max="4" width="8.7109375" style="32" customWidth="1"/>
    <col min="5" max="5" width="6.57421875" style="32" customWidth="1"/>
    <col min="6" max="6" width="6.00390625" style="32" customWidth="1"/>
    <col min="7" max="7" width="14.7109375" style="32" customWidth="1"/>
    <col min="8" max="8" width="15.421875" style="31" customWidth="1"/>
    <col min="9" max="9" width="4.7109375" style="31" customWidth="1"/>
    <col min="10" max="10" width="13.00390625" style="31" customWidth="1"/>
    <col min="11" max="16384" width="9.140625" style="31" customWidth="1"/>
  </cols>
  <sheetData>
    <row r="1" spans="1:10" ht="12.75">
      <c r="A1" s="52"/>
      <c r="B1" s="8" t="s">
        <v>81</v>
      </c>
      <c r="C1" s="7"/>
      <c r="D1" s="134" t="s">
        <v>21</v>
      </c>
      <c r="E1" s="134"/>
      <c r="F1" s="134"/>
      <c r="G1" s="9"/>
      <c r="H1" s="7"/>
      <c r="I1" s="7"/>
      <c r="J1" s="7"/>
    </row>
    <row r="2" spans="1:10" s="34" customFormat="1" ht="50.25" customHeight="1">
      <c r="A2" s="12" t="s">
        <v>224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29" t="s">
        <v>29</v>
      </c>
      <c r="J2" s="17" t="s">
        <v>2</v>
      </c>
    </row>
    <row r="3" spans="1:10" s="34" customFormat="1" ht="25.5">
      <c r="A3" s="13"/>
      <c r="B3" s="13"/>
      <c r="C3" s="12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s="34" customFormat="1" ht="27" customHeight="1">
      <c r="A4" s="135" t="s">
        <v>82</v>
      </c>
      <c r="B4" s="136" t="s">
        <v>83</v>
      </c>
      <c r="C4" s="38"/>
      <c r="D4" s="15">
        <v>9332.1</v>
      </c>
      <c r="E4" s="24"/>
      <c r="F4" s="24"/>
      <c r="G4" s="25">
        <f>26/12</f>
        <v>2.17</v>
      </c>
      <c r="H4" s="14"/>
      <c r="I4" s="16">
        <v>23</v>
      </c>
      <c r="J4" s="28"/>
    </row>
    <row r="5" spans="1:10" s="34" customFormat="1" ht="22.5" customHeight="1">
      <c r="A5" s="135"/>
      <c r="B5" s="136"/>
      <c r="C5" s="38"/>
      <c r="D5" s="15">
        <v>852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s="34" customFormat="1" ht="30.75" customHeight="1">
      <c r="A6" s="135"/>
      <c r="B6" s="136"/>
      <c r="C6" s="38"/>
      <c r="D6" s="15">
        <v>210.2</v>
      </c>
      <c r="E6" s="24"/>
      <c r="F6" s="24"/>
      <c r="G6" s="15">
        <f>(6*52)/12</f>
        <v>26</v>
      </c>
      <c r="H6" s="14"/>
      <c r="I6" s="16">
        <v>23</v>
      </c>
      <c r="J6" s="14"/>
    </row>
    <row r="7" spans="1:10" s="34" customFormat="1" ht="32.25" customHeight="1">
      <c r="A7" s="135" t="s">
        <v>38</v>
      </c>
      <c r="B7" s="136" t="s">
        <v>84</v>
      </c>
      <c r="C7" s="38"/>
      <c r="D7" s="15">
        <f>9332.1+210.2</f>
        <v>9542.3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s="34" customFormat="1" ht="32.25" customHeight="1">
      <c r="A8" s="135"/>
      <c r="B8" s="136"/>
      <c r="C8" s="38"/>
      <c r="D8" s="15">
        <f>36+477+207</f>
        <v>720</v>
      </c>
      <c r="E8" s="24"/>
      <c r="F8" s="24"/>
      <c r="G8" s="14">
        <f>60/12</f>
        <v>5</v>
      </c>
      <c r="H8" s="14"/>
      <c r="I8" s="16">
        <v>8</v>
      </c>
      <c r="J8" s="14"/>
    </row>
    <row r="9" spans="1:10" s="34" customFormat="1" ht="60" customHeight="1">
      <c r="A9" s="13" t="s">
        <v>40</v>
      </c>
      <c r="B9" s="23" t="s">
        <v>85</v>
      </c>
      <c r="C9" s="53"/>
      <c r="D9" s="15">
        <f>D8</f>
        <v>720</v>
      </c>
      <c r="E9" s="24"/>
      <c r="F9" s="24"/>
      <c r="G9" s="14">
        <f>45/12</f>
        <v>3.75</v>
      </c>
      <c r="H9" s="28"/>
      <c r="I9" s="54">
        <v>8</v>
      </c>
      <c r="J9" s="14"/>
    </row>
    <row r="10" spans="1:10" s="34" customFormat="1" ht="38.25">
      <c r="A10" s="13" t="s">
        <v>42</v>
      </c>
      <c r="B10" s="23" t="s">
        <v>86</v>
      </c>
      <c r="C10" s="38"/>
      <c r="D10" s="15">
        <v>3630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s="34" customFormat="1" ht="63.75">
      <c r="A11" s="13" t="s">
        <v>44</v>
      </c>
      <c r="B11" s="37" t="s">
        <v>87</v>
      </c>
      <c r="C11" s="38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s="34" customFormat="1" ht="15" customHeight="1">
      <c r="A12" s="13" t="s">
        <v>46</v>
      </c>
      <c r="B12" s="55" t="s">
        <v>45</v>
      </c>
      <c r="C12" s="38"/>
      <c r="D12" s="25">
        <v>9332.1</v>
      </c>
      <c r="E12" s="24"/>
      <c r="F12" s="24"/>
      <c r="G12" s="14">
        <v>1</v>
      </c>
      <c r="H12" s="14"/>
      <c r="I12" s="16">
        <v>23</v>
      </c>
      <c r="J12" s="14"/>
    </row>
    <row r="13" spans="1:10" s="34" customFormat="1" ht="15" customHeight="1">
      <c r="A13" s="13" t="s">
        <v>48</v>
      </c>
      <c r="B13" s="23" t="s">
        <v>47</v>
      </c>
      <c r="C13" s="38"/>
      <c r="D13" s="24"/>
      <c r="E13" s="25">
        <v>241</v>
      </c>
      <c r="F13" s="24"/>
      <c r="G13" s="15">
        <v>1</v>
      </c>
      <c r="H13" s="14"/>
      <c r="I13" s="16">
        <v>23</v>
      </c>
      <c r="J13" s="14"/>
    </row>
    <row r="14" spans="1:10" s="34" customFormat="1" ht="21.75" customHeight="1">
      <c r="A14" s="16" t="s">
        <v>50</v>
      </c>
      <c r="B14" s="37" t="s">
        <v>72</v>
      </c>
      <c r="C14" s="38"/>
      <c r="D14" s="25">
        <v>14</v>
      </c>
      <c r="E14" s="24"/>
      <c r="F14" s="24"/>
      <c r="G14" s="15">
        <f>(6*52)/12</f>
        <v>26</v>
      </c>
      <c r="H14" s="14"/>
      <c r="I14" s="16">
        <v>23</v>
      </c>
      <c r="J14" s="14"/>
    </row>
    <row r="15" spans="1:10" s="34" customFormat="1" ht="15" customHeight="1">
      <c r="A15" s="13" t="s">
        <v>52</v>
      </c>
      <c r="B15" s="37" t="s">
        <v>74</v>
      </c>
      <c r="C15" s="38"/>
      <c r="D15" s="25">
        <v>14</v>
      </c>
      <c r="E15" s="24"/>
      <c r="F15" s="24"/>
      <c r="G15" s="15">
        <v>1</v>
      </c>
      <c r="H15" s="14"/>
      <c r="I15" s="16">
        <v>23</v>
      </c>
      <c r="J15" s="14"/>
    </row>
    <row r="16" spans="1:10" s="34" customFormat="1" ht="25.5">
      <c r="A16" s="13" t="s">
        <v>73</v>
      </c>
      <c r="B16" s="37" t="s">
        <v>88</v>
      </c>
      <c r="C16" s="38"/>
      <c r="D16" s="25">
        <v>64.9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s="34" customFormat="1" ht="15" customHeight="1">
      <c r="A17" s="13" t="s">
        <v>75</v>
      </c>
      <c r="B17" s="37" t="s">
        <v>59</v>
      </c>
      <c r="C17" s="38"/>
      <c r="D17" s="25">
        <v>65.5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s="34" customFormat="1" ht="25.5">
      <c r="A18" s="13" t="s">
        <v>77</v>
      </c>
      <c r="B18" s="37" t="s">
        <v>89</v>
      </c>
      <c r="C18" s="38"/>
      <c r="D18" s="15">
        <v>28</v>
      </c>
      <c r="E18" s="24"/>
      <c r="F18" s="24"/>
      <c r="G18" s="25">
        <f>7*3*52/12</f>
        <v>91</v>
      </c>
      <c r="H18" s="14"/>
      <c r="I18" s="16">
        <v>23</v>
      </c>
      <c r="J18" s="14"/>
    </row>
    <row r="19" spans="1:10" s="34" customFormat="1" ht="15" customHeight="1" thickBot="1">
      <c r="A19" s="13" t="s">
        <v>79</v>
      </c>
      <c r="B19" s="37" t="s">
        <v>76</v>
      </c>
      <c r="C19" s="38"/>
      <c r="D19" s="24"/>
      <c r="E19" s="24"/>
      <c r="F19" s="25">
        <v>1</v>
      </c>
      <c r="G19" s="15">
        <v>1</v>
      </c>
      <c r="H19" s="14"/>
      <c r="I19" s="16">
        <v>23</v>
      </c>
      <c r="J19" s="117"/>
    </row>
    <row r="20" spans="1:10" ht="13.5" thickBot="1">
      <c r="A20" s="7"/>
      <c r="B20" s="56" t="s">
        <v>63</v>
      </c>
      <c r="C20" s="11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18" t="s">
        <v>54</v>
      </c>
      <c r="J20" s="119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76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38.25" customHeight="1">
      <c r="A1" s="7"/>
      <c r="B1" s="52" t="s">
        <v>202</v>
      </c>
      <c r="C1" s="7"/>
      <c r="D1" s="155" t="s">
        <v>21</v>
      </c>
      <c r="E1" s="156"/>
      <c r="F1" s="157"/>
      <c r="G1" s="9"/>
      <c r="H1" s="7"/>
      <c r="I1" s="11"/>
      <c r="J1" s="7"/>
    </row>
    <row r="2" spans="1:10" ht="63.75">
      <c r="A2" s="12" t="s">
        <v>223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9" t="s">
        <v>194</v>
      </c>
      <c r="C4" s="161"/>
      <c r="D4" s="163">
        <v>132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58"/>
      <c r="B5" s="160"/>
      <c r="C5" s="162"/>
      <c r="D5" s="164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7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4" t="s">
        <v>196</v>
      </c>
      <c r="C7" s="106"/>
      <c r="D7" s="109"/>
      <c r="E7" s="106">
        <v>5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197</v>
      </c>
      <c r="C8" s="106"/>
      <c r="D8" s="109"/>
      <c r="E8" s="106">
        <v>440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5" t="s">
        <v>198</v>
      </c>
      <c r="C9" s="106"/>
      <c r="D9" s="107">
        <v>80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46</v>
      </c>
      <c r="B10" s="96" t="s">
        <v>199</v>
      </c>
      <c r="C10" s="106"/>
      <c r="D10" s="107">
        <v>477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48</v>
      </c>
      <c r="B11" s="94" t="s">
        <v>200</v>
      </c>
      <c r="C11" s="106"/>
      <c r="D11" s="107">
        <v>140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63</v>
      </c>
      <c r="C12" s="100" t="s">
        <v>54</v>
      </c>
      <c r="D12" s="101" t="s">
        <v>54</v>
      </c>
      <c r="E12" s="101" t="s">
        <v>54</v>
      </c>
      <c r="F12" s="101" t="s">
        <v>54</v>
      </c>
      <c r="G12" s="101" t="s">
        <v>54</v>
      </c>
      <c r="H12" s="100" t="s">
        <v>54</v>
      </c>
      <c r="I12" s="104" t="s">
        <v>54</v>
      </c>
      <c r="J12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57" customWidth="1"/>
    <col min="2" max="2" width="45.7109375" style="57" customWidth="1"/>
    <col min="3" max="3" width="7.28125" style="31" customWidth="1"/>
    <col min="4" max="4" width="8.7109375" style="32" customWidth="1"/>
    <col min="5" max="5" width="4.8515625" style="32" customWidth="1"/>
    <col min="6" max="6" width="6.00390625" style="32" customWidth="1"/>
    <col min="7" max="7" width="14.8515625" style="31" customWidth="1"/>
    <col min="8" max="8" width="11.421875" style="31" customWidth="1"/>
    <col min="9" max="9" width="4.7109375" style="43" customWidth="1"/>
    <col min="10" max="16384" width="9.140625" style="31" customWidth="1"/>
  </cols>
  <sheetData>
    <row r="1" spans="1:10" ht="12.75">
      <c r="A1" s="58"/>
      <c r="B1" s="58" t="s">
        <v>90</v>
      </c>
      <c r="C1" s="7"/>
      <c r="D1" s="134" t="s">
        <v>21</v>
      </c>
      <c r="E1" s="134"/>
      <c r="F1" s="134"/>
      <c r="G1" s="7"/>
      <c r="H1" s="7"/>
      <c r="I1" s="11"/>
      <c r="J1" s="7"/>
    </row>
    <row r="2" spans="1:10" s="34" customFormat="1" ht="41.25" customHeight="1">
      <c r="A2" s="12" t="s">
        <v>229</v>
      </c>
      <c r="B2" s="17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17" t="s">
        <v>28</v>
      </c>
      <c r="I2" s="16" t="s">
        <v>29</v>
      </c>
      <c r="J2" s="17" t="s">
        <v>2</v>
      </c>
    </row>
    <row r="3" spans="1:10" s="44" customFormat="1" ht="25.5">
      <c r="A3" s="12"/>
      <c r="B3" s="12"/>
      <c r="C3" s="16" t="s">
        <v>30</v>
      </c>
      <c r="D3" s="20" t="s">
        <v>31</v>
      </c>
      <c r="E3" s="20" t="s">
        <v>32</v>
      </c>
      <c r="F3" s="20" t="s">
        <v>33</v>
      </c>
      <c r="G3" s="21" t="s">
        <v>34</v>
      </c>
      <c r="H3" s="16" t="s">
        <v>30</v>
      </c>
      <c r="I3" s="16" t="s">
        <v>35</v>
      </c>
      <c r="J3" s="16" t="s">
        <v>30</v>
      </c>
    </row>
    <row r="4" spans="1:10" s="34" customFormat="1" ht="12.75" customHeight="1">
      <c r="A4" s="165" t="s">
        <v>36</v>
      </c>
      <c r="B4" s="138" t="s">
        <v>91</v>
      </c>
      <c r="C4" s="35"/>
      <c r="D4" s="15">
        <v>64.9</v>
      </c>
      <c r="E4" s="24"/>
      <c r="F4" s="24"/>
      <c r="G4" s="15">
        <f>(6*52)/12</f>
        <v>26</v>
      </c>
      <c r="H4" s="14"/>
      <c r="I4" s="16">
        <v>23</v>
      </c>
      <c r="J4" s="14"/>
    </row>
    <row r="5" spans="1:10" s="34" customFormat="1" ht="12.75">
      <c r="A5" s="165"/>
      <c r="B5" s="138"/>
      <c r="C5" s="35"/>
      <c r="D5" s="15">
        <v>28</v>
      </c>
      <c r="E5" s="24"/>
      <c r="F5" s="24"/>
      <c r="G5" s="15">
        <f>6*3*52/12</f>
        <v>78</v>
      </c>
      <c r="H5" s="14"/>
      <c r="I5" s="16">
        <v>23</v>
      </c>
      <c r="J5" s="14"/>
    </row>
    <row r="6" spans="1:10" s="34" customFormat="1" ht="64.5" customHeight="1">
      <c r="A6" s="12" t="s">
        <v>38</v>
      </c>
      <c r="B6" s="23" t="s">
        <v>92</v>
      </c>
      <c r="C6" s="35"/>
      <c r="D6" s="15">
        <f>2198+1724+50+3244</f>
        <v>7216</v>
      </c>
      <c r="E6" s="24"/>
      <c r="F6" s="24"/>
      <c r="G6" s="25">
        <f>26/12</f>
        <v>2.17</v>
      </c>
      <c r="H6" s="14"/>
      <c r="I6" s="16">
        <v>8</v>
      </c>
      <c r="J6" s="14"/>
    </row>
    <row r="7" spans="1:10" s="34" customFormat="1" ht="25.5">
      <c r="A7" s="12" t="s">
        <v>40</v>
      </c>
      <c r="B7" s="23" t="s">
        <v>93</v>
      </c>
      <c r="C7" s="35"/>
      <c r="D7" s="15">
        <f>5018</f>
        <v>5018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s="34" customFormat="1" ht="25.5">
      <c r="A8" s="12" t="s">
        <v>42</v>
      </c>
      <c r="B8" s="23" t="s">
        <v>94</v>
      </c>
      <c r="C8" s="35"/>
      <c r="D8" s="15">
        <f>D7</f>
        <v>5018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s="34" customFormat="1" ht="25.5">
      <c r="A9" s="12" t="s">
        <v>44</v>
      </c>
      <c r="B9" s="37" t="s">
        <v>95</v>
      </c>
      <c r="C9" s="35"/>
      <c r="D9" s="15">
        <f>101.6+7.1</f>
        <v>108.7</v>
      </c>
      <c r="E9" s="24"/>
      <c r="F9" s="24"/>
      <c r="G9" s="28">
        <f>2/12</f>
        <v>0.17</v>
      </c>
      <c r="H9" s="14"/>
      <c r="I9" s="16">
        <v>8</v>
      </c>
      <c r="J9" s="28"/>
    </row>
    <row r="10" spans="1:10" s="34" customFormat="1" ht="15" customHeight="1">
      <c r="A10" s="12" t="s">
        <v>46</v>
      </c>
      <c r="B10" s="37" t="s">
        <v>96</v>
      </c>
      <c r="C10" s="35"/>
      <c r="D10" s="24"/>
      <c r="E10" s="15">
        <v>42</v>
      </c>
      <c r="F10" s="24"/>
      <c r="G10" s="15">
        <v>1</v>
      </c>
      <c r="H10" s="14"/>
      <c r="I10" s="16">
        <v>8</v>
      </c>
      <c r="J10" s="14"/>
    </row>
    <row r="11" spans="1:10" s="34" customFormat="1" ht="15" customHeight="1">
      <c r="A11" s="12" t="s">
        <v>48</v>
      </c>
      <c r="B11" s="37" t="s">
        <v>76</v>
      </c>
      <c r="C11" s="35"/>
      <c r="D11" s="24"/>
      <c r="E11" s="24"/>
      <c r="F11" s="15">
        <v>1</v>
      </c>
      <c r="G11" s="15">
        <v>1</v>
      </c>
      <c r="H11" s="14"/>
      <c r="I11" s="16">
        <v>8</v>
      </c>
      <c r="J11" s="14"/>
    </row>
    <row r="12" spans="1:10" s="34" customFormat="1" ht="51.75" thickBot="1">
      <c r="A12" s="12" t="s">
        <v>50</v>
      </c>
      <c r="B12" s="37" t="s">
        <v>97</v>
      </c>
      <c r="C12" s="35"/>
      <c r="D12" s="24"/>
      <c r="E12" s="24"/>
      <c r="F12" s="25">
        <v>1</v>
      </c>
      <c r="G12" s="15">
        <v>1</v>
      </c>
      <c r="H12" s="14"/>
      <c r="I12" s="16">
        <v>8</v>
      </c>
      <c r="J12" s="117"/>
    </row>
    <row r="13" spans="1:10" s="34" customFormat="1" ht="13.5" thickBot="1">
      <c r="A13" s="17"/>
      <c r="B13" s="41" t="s">
        <v>63</v>
      </c>
      <c r="C13" s="16" t="s">
        <v>54</v>
      </c>
      <c r="D13" s="20" t="s">
        <v>54</v>
      </c>
      <c r="E13" s="20" t="s">
        <v>54</v>
      </c>
      <c r="F13" s="20" t="s">
        <v>54</v>
      </c>
      <c r="G13" s="16" t="s">
        <v>54</v>
      </c>
      <c r="H13" s="20" t="s">
        <v>54</v>
      </c>
      <c r="I13" s="116" t="s">
        <v>54</v>
      </c>
      <c r="J13" s="105"/>
    </row>
    <row r="14" spans="1:10" s="34" customFormat="1" ht="12.75">
      <c r="A14" s="60"/>
      <c r="B14" s="60"/>
      <c r="D14" s="42"/>
      <c r="E14" s="42"/>
      <c r="F14" s="42"/>
      <c r="I14" s="22"/>
      <c r="J14" s="18"/>
    </row>
    <row r="15" spans="1:9" s="34" customFormat="1" ht="12.75">
      <c r="A15" s="60"/>
      <c r="B15" s="60"/>
      <c r="D15" s="42"/>
      <c r="E15" s="42"/>
      <c r="F15" s="42"/>
      <c r="I15" s="44"/>
    </row>
    <row r="16" spans="1:9" s="34" customFormat="1" ht="12.75">
      <c r="A16" s="60"/>
      <c r="B16" s="60"/>
      <c r="D16" s="42"/>
      <c r="E16" s="42"/>
      <c r="F16" s="42"/>
      <c r="I16" s="44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205</v>
      </c>
      <c r="C1" s="7"/>
      <c r="D1" s="134" t="s">
        <v>21</v>
      </c>
      <c r="E1" s="134"/>
      <c r="F1" s="134"/>
      <c r="G1" s="9"/>
      <c r="H1" s="7"/>
      <c r="I1" s="11"/>
      <c r="J1" s="7"/>
    </row>
    <row r="2" spans="1:10" ht="63.75">
      <c r="A2" s="12" t="s">
        <v>230</v>
      </c>
      <c r="B2" s="13" t="s">
        <v>22</v>
      </c>
      <c r="C2" s="17" t="s">
        <v>23</v>
      </c>
      <c r="D2" s="14" t="s">
        <v>24</v>
      </c>
      <c r="E2" s="14" t="s">
        <v>25</v>
      </c>
      <c r="F2" s="14" t="s">
        <v>26</v>
      </c>
      <c r="G2" s="14" t="s">
        <v>27</v>
      </c>
      <c r="H2" s="29" t="s">
        <v>28</v>
      </c>
      <c r="I2" s="16" t="s">
        <v>29</v>
      </c>
      <c r="J2" s="17" t="s">
        <v>2</v>
      </c>
    </row>
    <row r="3" spans="1:10" ht="38.25">
      <c r="A3" s="13"/>
      <c r="B3" s="13"/>
      <c r="C3" s="93" t="s">
        <v>30</v>
      </c>
      <c r="D3" s="97" t="s">
        <v>31</v>
      </c>
      <c r="E3" s="97" t="s">
        <v>32</v>
      </c>
      <c r="F3" s="97" t="s">
        <v>33</v>
      </c>
      <c r="G3" s="98" t="s">
        <v>34</v>
      </c>
      <c r="H3" s="99" t="s">
        <v>30</v>
      </c>
      <c r="I3" s="99" t="s">
        <v>35</v>
      </c>
      <c r="J3" s="99" t="s">
        <v>30</v>
      </c>
    </row>
    <row r="4" spans="1:10" ht="12.75">
      <c r="A4" s="143" t="s">
        <v>36</v>
      </c>
      <c r="B4" s="151" t="s">
        <v>194</v>
      </c>
      <c r="C4" s="153"/>
      <c r="D4" s="154">
        <v>2198</v>
      </c>
      <c r="E4" s="145"/>
      <c r="F4" s="145"/>
      <c r="G4" s="147">
        <v>2</v>
      </c>
      <c r="H4" s="149"/>
      <c r="I4" s="147">
        <v>8</v>
      </c>
      <c r="J4" s="149"/>
    </row>
    <row r="5" spans="1:10" ht="12.75">
      <c r="A5" s="144"/>
      <c r="B5" s="152"/>
      <c r="C5" s="153"/>
      <c r="D5" s="153"/>
      <c r="E5" s="146"/>
      <c r="F5" s="146"/>
      <c r="G5" s="148"/>
      <c r="H5" s="150"/>
      <c r="I5" s="148"/>
      <c r="J5" s="150"/>
    </row>
    <row r="6" spans="1:10" ht="12.75">
      <c r="A6" s="13" t="s">
        <v>38</v>
      </c>
      <c r="B6" s="94" t="s">
        <v>195</v>
      </c>
      <c r="C6" s="106"/>
      <c r="D6" s="109"/>
      <c r="E6" s="106">
        <v>4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40</v>
      </c>
      <c r="B7" s="95" t="s">
        <v>197</v>
      </c>
      <c r="C7" s="106"/>
      <c r="D7" s="109"/>
      <c r="E7" s="106">
        <v>840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42</v>
      </c>
      <c r="B8" s="95" t="s">
        <v>198</v>
      </c>
      <c r="C8" s="106"/>
      <c r="D8" s="107">
        <v>1000</v>
      </c>
      <c r="E8" s="109"/>
      <c r="F8" s="109"/>
      <c r="G8" s="110">
        <v>1</v>
      </c>
      <c r="H8" s="106"/>
      <c r="I8" s="110">
        <v>8</v>
      </c>
      <c r="J8" s="106"/>
    </row>
    <row r="9" spans="1:10" ht="12.75">
      <c r="A9" s="13" t="s">
        <v>44</v>
      </c>
      <c r="B9" s="96" t="s">
        <v>199</v>
      </c>
      <c r="C9" s="106"/>
      <c r="D9" s="107">
        <v>1724</v>
      </c>
      <c r="E9" s="109"/>
      <c r="F9" s="109"/>
      <c r="G9" s="110">
        <v>0.5</v>
      </c>
      <c r="H9" s="106"/>
      <c r="I9" s="110">
        <v>8</v>
      </c>
      <c r="J9" s="106"/>
    </row>
    <row r="10" spans="1:10" ht="13.5" thickBot="1">
      <c r="A10" s="13" t="s">
        <v>46</v>
      </c>
      <c r="B10" s="94" t="s">
        <v>200</v>
      </c>
      <c r="C10" s="106"/>
      <c r="D10" s="107">
        <v>1200</v>
      </c>
      <c r="E10" s="109"/>
      <c r="F10" s="109"/>
      <c r="G10" s="110">
        <v>1</v>
      </c>
      <c r="H10" s="106"/>
      <c r="I10" s="110">
        <v>8</v>
      </c>
      <c r="J10" s="108"/>
    </row>
    <row r="11" spans="1:10" ht="13.5" thickBot="1">
      <c r="A11" s="26"/>
      <c r="B11" s="41" t="s">
        <v>63</v>
      </c>
      <c r="C11" s="100" t="s">
        <v>54</v>
      </c>
      <c r="D11" s="101" t="s">
        <v>54</v>
      </c>
      <c r="E11" s="101" t="s">
        <v>54</v>
      </c>
      <c r="F11" s="101" t="s">
        <v>54</v>
      </c>
      <c r="G11" s="101" t="s">
        <v>54</v>
      </c>
      <c r="H11" s="100" t="s">
        <v>54</v>
      </c>
      <c r="I11" s="104" t="s">
        <v>54</v>
      </c>
      <c r="J11" s="105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1:F1"/>
  </mergeCells>
  <printOptions/>
  <pageMargins left="0.7" right="0.7" top="0.75" bottom="0.75" header="0.3" footer="0.3"/>
  <pageSetup horizontalDpi="600" verticalDpi="600" orientation="landscape" paperSize="9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Antonik Kinga</dc:creator>
  <cp:keywords/>
  <dc:description/>
  <cp:lastModifiedBy>Antonik Kinga</cp:lastModifiedBy>
  <cp:lastPrinted>2015-09-10T09:25:13Z</cp:lastPrinted>
  <dcterms:created xsi:type="dcterms:W3CDTF">2015-10-02T14:09:08Z</dcterms:created>
  <dcterms:modified xsi:type="dcterms:W3CDTF">2015-11-06T14:24:26Z</dcterms:modified>
  <cp:category/>
  <cp:version/>
  <cp:contentType/>
  <cp:contentStatus/>
</cp:coreProperties>
</file>